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VS-UNK\Team\Neidinger\CCM\Internet_online\"/>
    </mc:Choice>
  </mc:AlternateContent>
  <xr:revisionPtr revIDLastSave="0" documentId="8_{91C082D2-BC9E-4C25-A4EF-F59CC2E1C7C3}" xr6:coauthVersionLast="47" xr6:coauthVersionMax="47" xr10:uidLastSave="{00000000-0000-0000-0000-000000000000}"/>
  <bookViews>
    <workbookView xWindow="-28920" yWindow="-120" windowWidth="29040" windowHeight="15840" tabRatio="789" activeTab="9" xr2:uid="{00000000-000D-0000-FFFF-FFFF00000000}"/>
  </bookViews>
  <sheets>
    <sheet name="Info_x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Temp-Gebiet #02)" sheetId="20" r:id="rId6"/>
    <sheet name="SLP-Profile" sheetId="7" r:id="rId7"/>
    <sheet name="BDEW-Standard" sheetId="8" state="hidden" r:id="rId8"/>
    <sheet name="SLP-Feiertage" sheetId="1" r:id="rId9"/>
    <sheet name="HIST_MONATSDURCHSCHNITT" sheetId="21" r:id="rId10"/>
    <sheet name="Wochentag F(WT)" sheetId="4" state="hidden" r:id="rId11"/>
  </sheets>
  <externalReferences>
    <externalReference r:id="rId12"/>
  </externalReferences>
  <definedNames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10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7" l="1"/>
  <c r="W24" i="7"/>
  <c r="V24" i="7"/>
  <c r="U24" i="7"/>
  <c r="T24" i="7"/>
  <c r="S24" i="7"/>
  <c r="R24" i="7"/>
  <c r="X24" i="7" s="1"/>
  <c r="P24" i="7"/>
  <c r="O24" i="7"/>
  <c r="N24" i="7"/>
  <c r="M24" i="7"/>
  <c r="L24" i="7"/>
  <c r="K24" i="7"/>
  <c r="J24" i="7"/>
  <c r="I24" i="7"/>
  <c r="Q24" i="7" s="1"/>
  <c r="H24" i="7"/>
  <c r="F24" i="7"/>
  <c r="W23" i="7"/>
  <c r="V23" i="7"/>
  <c r="U23" i="7"/>
  <c r="T23" i="7"/>
  <c r="S23" i="7"/>
  <c r="R23" i="7"/>
  <c r="X23" i="7" s="1"/>
  <c r="P23" i="7"/>
  <c r="O23" i="7"/>
  <c r="N23" i="7"/>
  <c r="M23" i="7"/>
  <c r="L23" i="7"/>
  <c r="K23" i="7"/>
  <c r="J23" i="7"/>
  <c r="I23" i="7"/>
  <c r="H23" i="7"/>
  <c r="Q23" i="7" s="1"/>
  <c r="F23" i="7"/>
  <c r="W22" i="7"/>
  <c r="V22" i="7"/>
  <c r="U22" i="7"/>
  <c r="T22" i="7"/>
  <c r="S22" i="7"/>
  <c r="R22" i="7"/>
  <c r="X22" i="7" s="1"/>
  <c r="P22" i="7"/>
  <c r="O22" i="7"/>
  <c r="N22" i="7"/>
  <c r="M22" i="7"/>
  <c r="L22" i="7"/>
  <c r="K22" i="7"/>
  <c r="J22" i="7"/>
  <c r="I22" i="7"/>
  <c r="Q22" i="7" s="1"/>
  <c r="H22" i="7"/>
  <c r="F22" i="7"/>
  <c r="W21" i="7"/>
  <c r="V21" i="7"/>
  <c r="U21" i="7"/>
  <c r="T21" i="7"/>
  <c r="S21" i="7"/>
  <c r="R21" i="7"/>
  <c r="X21" i="7" s="1"/>
  <c r="P21" i="7"/>
  <c r="O21" i="7"/>
  <c r="N21" i="7"/>
  <c r="M21" i="7"/>
  <c r="L21" i="7"/>
  <c r="K21" i="7"/>
  <c r="J21" i="7"/>
  <c r="I21" i="7"/>
  <c r="H21" i="7"/>
  <c r="Q21" i="7" s="1"/>
  <c r="F21" i="7"/>
  <c r="W20" i="7"/>
  <c r="V20" i="7"/>
  <c r="U20" i="7"/>
  <c r="T20" i="7"/>
  <c r="S20" i="7"/>
  <c r="R20" i="7"/>
  <c r="X20" i="7" s="1"/>
  <c r="P20" i="7"/>
  <c r="O20" i="7"/>
  <c r="N20" i="7"/>
  <c r="M20" i="7"/>
  <c r="L20" i="7"/>
  <c r="K20" i="7"/>
  <c r="J20" i="7"/>
  <c r="I20" i="7"/>
  <c r="Q20" i="7" s="1"/>
  <c r="H20" i="7"/>
  <c r="F20" i="7"/>
  <c r="W19" i="7"/>
  <c r="V19" i="7"/>
  <c r="U19" i="7"/>
  <c r="T19" i="7"/>
  <c r="S19" i="7"/>
  <c r="R19" i="7"/>
  <c r="X19" i="7" s="1"/>
  <c r="P19" i="7"/>
  <c r="O19" i="7"/>
  <c r="N19" i="7"/>
  <c r="M19" i="7"/>
  <c r="L19" i="7"/>
  <c r="K19" i="7"/>
  <c r="J19" i="7"/>
  <c r="I19" i="7"/>
  <c r="H19" i="7"/>
  <c r="Q19" i="7" s="1"/>
  <c r="F19" i="7"/>
  <c r="W18" i="7"/>
  <c r="V18" i="7"/>
  <c r="U18" i="7"/>
  <c r="T18" i="7"/>
  <c r="S18" i="7"/>
  <c r="R18" i="7"/>
  <c r="X18" i="7" s="1"/>
  <c r="P18" i="7"/>
  <c r="O18" i="7"/>
  <c r="N18" i="7"/>
  <c r="M18" i="7"/>
  <c r="L18" i="7"/>
  <c r="K18" i="7"/>
  <c r="J18" i="7"/>
  <c r="I18" i="7"/>
  <c r="Q18" i="7" s="1"/>
  <c r="H18" i="7"/>
  <c r="F18" i="7"/>
  <c r="W17" i="7"/>
  <c r="V17" i="7"/>
  <c r="U17" i="7"/>
  <c r="T17" i="7"/>
  <c r="S17" i="7"/>
  <c r="R17" i="7"/>
  <c r="X17" i="7" s="1"/>
  <c r="P17" i="7"/>
  <c r="O17" i="7"/>
  <c r="N17" i="7"/>
  <c r="M17" i="7"/>
  <c r="L17" i="7"/>
  <c r="K17" i="7"/>
  <c r="J17" i="7"/>
  <c r="I17" i="7"/>
  <c r="H17" i="7"/>
  <c r="Q17" i="7" s="1"/>
  <c r="F17" i="7"/>
  <c r="W16" i="7"/>
  <c r="V16" i="7"/>
  <c r="U16" i="7"/>
  <c r="T16" i="7"/>
  <c r="S16" i="7"/>
  <c r="R16" i="7"/>
  <c r="X16" i="7" s="1"/>
  <c r="P16" i="7"/>
  <c r="O16" i="7"/>
  <c r="N16" i="7"/>
  <c r="M16" i="7"/>
  <c r="L16" i="7"/>
  <c r="K16" i="7"/>
  <c r="J16" i="7"/>
  <c r="I16" i="7"/>
  <c r="Q16" i="7" s="1"/>
  <c r="H16" i="7"/>
  <c r="F16" i="7"/>
  <c r="W15" i="7"/>
  <c r="V15" i="7"/>
  <c r="U15" i="7"/>
  <c r="T15" i="7"/>
  <c r="S15" i="7"/>
  <c r="R15" i="7"/>
  <c r="X15" i="7" s="1"/>
  <c r="P15" i="7"/>
  <c r="O15" i="7"/>
  <c r="N15" i="7"/>
  <c r="M15" i="7"/>
  <c r="L15" i="7"/>
  <c r="K15" i="7"/>
  <c r="J15" i="7"/>
  <c r="I15" i="7"/>
  <c r="H15" i="7"/>
  <c r="Q15" i="7" s="1"/>
  <c r="F15" i="7"/>
  <c r="W14" i="7"/>
  <c r="V14" i="7"/>
  <c r="U14" i="7"/>
  <c r="T14" i="7"/>
  <c r="S14" i="7"/>
  <c r="R14" i="7"/>
  <c r="X14" i="7" s="1"/>
  <c r="P14" i="7"/>
  <c r="O14" i="7"/>
  <c r="N14" i="7"/>
  <c r="M14" i="7"/>
  <c r="L14" i="7"/>
  <c r="K14" i="7"/>
  <c r="J14" i="7"/>
  <c r="I14" i="7"/>
  <c r="H14" i="7"/>
  <c r="Q14" i="7" s="1"/>
  <c r="F14" i="7"/>
  <c r="W13" i="7"/>
  <c r="V13" i="7"/>
  <c r="U13" i="7"/>
  <c r="T13" i="7"/>
  <c r="S13" i="7"/>
  <c r="R13" i="7"/>
  <c r="X13" i="7" s="1"/>
  <c r="P13" i="7"/>
  <c r="O13" i="7"/>
  <c r="N13" i="7"/>
  <c r="M13" i="7"/>
  <c r="L13" i="7"/>
  <c r="K13" i="7"/>
  <c r="J13" i="7"/>
  <c r="I13" i="7"/>
  <c r="H13" i="7"/>
  <c r="Q13" i="7" s="1"/>
  <c r="F13" i="7"/>
  <c r="X12" i="7"/>
  <c r="W12" i="7"/>
  <c r="V12" i="7"/>
  <c r="U12" i="7"/>
  <c r="T12" i="7"/>
  <c r="S12" i="7"/>
  <c r="R12" i="7"/>
  <c r="P12" i="7"/>
  <c r="O12" i="7"/>
  <c r="N12" i="7"/>
  <c r="M12" i="7"/>
  <c r="L12" i="7"/>
  <c r="K12" i="7"/>
  <c r="J12" i="7"/>
  <c r="I12" i="7"/>
  <c r="H12" i="7"/>
  <c r="Q12" i="7" s="1"/>
  <c r="F12" i="7"/>
  <c r="N71" i="20"/>
  <c r="M71" i="20"/>
  <c r="L71" i="20"/>
  <c r="K71" i="20"/>
  <c r="J71" i="20"/>
  <c r="I71" i="20"/>
  <c r="H71" i="20"/>
  <c r="G71" i="20"/>
  <c r="N70" i="20"/>
  <c r="M70" i="20"/>
  <c r="L70" i="20"/>
  <c r="K70" i="20"/>
  <c r="J70" i="20"/>
  <c r="I70" i="20"/>
  <c r="H70" i="20"/>
  <c r="G70" i="20"/>
  <c r="F70" i="20"/>
  <c r="E70" i="20"/>
  <c r="N69" i="20"/>
  <c r="M69" i="20"/>
  <c r="L69" i="20"/>
  <c r="K69" i="20"/>
  <c r="J69" i="20"/>
  <c r="I69" i="20"/>
  <c r="H69" i="20"/>
  <c r="G69" i="20"/>
  <c r="F69" i="20"/>
  <c r="E69" i="20"/>
  <c r="N68" i="20"/>
  <c r="M68" i="20"/>
  <c r="L68" i="20"/>
  <c r="K68" i="20"/>
  <c r="J68" i="20"/>
  <c r="I68" i="20"/>
  <c r="H68" i="20"/>
  <c r="G68" i="20"/>
  <c r="F68" i="20"/>
  <c r="E68" i="20"/>
  <c r="N67" i="20"/>
  <c r="M67" i="20"/>
  <c r="L67" i="20"/>
  <c r="K67" i="20"/>
  <c r="J67" i="20"/>
  <c r="I67" i="20"/>
  <c r="H67" i="20"/>
  <c r="G67" i="20"/>
  <c r="F67" i="20"/>
  <c r="N64" i="20"/>
  <c r="M64" i="20"/>
  <c r="K64" i="20"/>
  <c r="J64" i="20"/>
  <c r="I64" i="20"/>
  <c r="G64" i="20"/>
  <c r="F64" i="20"/>
  <c r="E64" i="20"/>
  <c r="L64" i="20"/>
  <c r="E61" i="20"/>
  <c r="E60" i="20"/>
  <c r="E58" i="20"/>
  <c r="E57" i="20"/>
  <c r="N54" i="20"/>
  <c r="M54" i="20"/>
  <c r="K54" i="20"/>
  <c r="J54" i="20"/>
  <c r="I54" i="20"/>
  <c r="G54" i="20"/>
  <c r="F54" i="20"/>
  <c r="E54" i="20"/>
  <c r="F53" i="20"/>
  <c r="L54" i="20" s="1"/>
  <c r="N30" i="20"/>
  <c r="M30" i="20"/>
  <c r="L30" i="20"/>
  <c r="K30" i="20"/>
  <c r="J30" i="20"/>
  <c r="I30" i="20"/>
  <c r="H30" i="20"/>
  <c r="G30" i="20"/>
  <c r="F30" i="20"/>
  <c r="E30" i="20"/>
  <c r="D33" i="20" s="1"/>
  <c r="N27" i="20"/>
  <c r="M27" i="20"/>
  <c r="L27" i="20"/>
  <c r="K27" i="20"/>
  <c r="J27" i="20"/>
  <c r="I27" i="20"/>
  <c r="H27" i="20"/>
  <c r="G27" i="20"/>
  <c r="F27" i="20"/>
  <c r="E27" i="20"/>
  <c r="T23" i="20"/>
  <c r="N19" i="20"/>
  <c r="M19" i="20"/>
  <c r="L19" i="20"/>
  <c r="K19" i="20"/>
  <c r="J19" i="20"/>
  <c r="I19" i="20"/>
  <c r="H19" i="20"/>
  <c r="G19" i="20"/>
  <c r="F19" i="20"/>
  <c r="D22" i="20" s="1"/>
  <c r="E19" i="20"/>
  <c r="F9" i="20"/>
  <c r="E5" i="20"/>
  <c r="M32" i="20" l="1"/>
  <c r="I32" i="20"/>
  <c r="L32" i="20"/>
  <c r="H32" i="20"/>
  <c r="K32" i="20"/>
  <c r="G32" i="20"/>
  <c r="N32" i="20"/>
  <c r="J32" i="20"/>
  <c r="F32" i="20"/>
  <c r="D57" i="20"/>
  <c r="E21" i="20"/>
  <c r="H54" i="20"/>
  <c r="H64" i="20"/>
  <c r="I66" i="20" l="1"/>
  <c r="N66" i="20"/>
  <c r="K66" i="20"/>
  <c r="G66" i="20"/>
  <c r="L66" i="20"/>
  <c r="H66" i="20"/>
  <c r="E32" i="20"/>
  <c r="J66" i="20"/>
  <c r="E56" i="20"/>
  <c r="F66" i="20"/>
  <c r="M66" i="20"/>
  <c r="E66" i="20" l="1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H21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G21" i="18" l="1"/>
  <c r="I21" i="18"/>
  <c r="D66" i="18"/>
  <c r="L65" i="18" s="1"/>
  <c r="K21" i="18"/>
  <c r="J21" i="18"/>
  <c r="L21" i="18"/>
  <c r="M21" i="18"/>
  <c r="D56" i="18"/>
  <c r="J55" i="18" s="1"/>
  <c r="E31" i="18"/>
  <c r="N65" i="18"/>
  <c r="I65" i="18"/>
  <c r="F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L55" i="18" l="1"/>
  <c r="H65" i="18"/>
  <c r="G65" i="18"/>
  <c r="E65" i="18" s="1"/>
  <c r="M55" i="18"/>
  <c r="F65" i="18"/>
  <c r="J65" i="18"/>
  <c r="K65" i="18"/>
  <c r="H55" i="18"/>
  <c r="E55" i="18" s="1"/>
  <c r="M65" i="18"/>
  <c r="G55" i="18"/>
  <c r="K55" i="18"/>
  <c r="N5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D33" i="17" s="1"/>
  <c r="I32" i="17" s="1"/>
  <c r="T23" i="17"/>
  <c r="E68" i="17"/>
  <c r="E60" i="17"/>
  <c r="E58" i="17"/>
  <c r="E69" i="17"/>
  <c r="G32" i="17" l="1"/>
  <c r="H32" i="17"/>
  <c r="F32" i="17"/>
  <c r="F64" i="17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J32" i="17" l="1"/>
  <c r="N32" i="17"/>
  <c r="K32" i="17"/>
  <c r="L32" i="17"/>
  <c r="M32" i="17"/>
  <c r="D57" i="17"/>
  <c r="D67" i="17"/>
  <c r="E32" i="17" l="1"/>
  <c r="G66" i="17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20" i="7"/>
  <c r="C14" i="7"/>
  <c r="C12" i="7"/>
  <c r="C19" i="7"/>
  <c r="C16" i="7"/>
  <c r="C15" i="7"/>
  <c r="C17" i="7"/>
  <c r="C22" i="7"/>
  <c r="C13" i="7"/>
  <c r="C23" i="7"/>
  <c r="C18" i="7"/>
  <c r="C21" i="7"/>
  <c r="C2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<sst xmlns="http://schemas.openxmlformats.org/spreadsheetml/2006/main" count="1573" uniqueCount="658">
  <si>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</si>
  <si>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</si>
  <si>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</si>
  <si>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</si>
  <si>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</si>
  <si>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</si>
  <si>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</si>
  <si>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</si>
  <si>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</si>
  <si>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</si>
  <si>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</si>
  <si>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</si>
  <si>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</si>
  <si>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</si>
  <si>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</si>
  <si>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</si>
  <si>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</si>
  <si>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</si>
  <si>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</si>
  <si>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</si>
  <si>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</si>
  <si>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</si>
  <si>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</si>
  <si>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</si>
  <si>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</si>
  <si>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</si>
  <si>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</si>
  <si>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</si>
  <si>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</si>
  <si>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</si>
  <si>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</si>
  <si>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</si>
  <si>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</si>
  <si>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</si>
  <si>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</si>
  <si>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</si>
  <si>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</si>
  <si>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</si>
  <si>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</si>
  <si>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</si>
  <si>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</si>
  <si>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</si>
  <si>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</si>
  <si>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</si>
  <si>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</si>
  <si>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</si>
  <si>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</si>
  <si>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</si>
  <si>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</si>
  <si>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</si>
  <si>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</si>
  <si>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</si>
  <si>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</si>
  <si>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</si>
  <si>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</si>
  <si>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</si>
  <si>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</si>
  <si>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</si>
  <si>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</si>
  <si>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</si>
  <si>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</si>
  <si>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</si>
  <si>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</si>
  <si>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</si>
  <si>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</si>
  <si>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</si>
  <si>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</si>
  <si>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</si>
  <si>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</si>
  <si>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</si>
  <si>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</si>
  <si>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</si>
  <si>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</si>
  <si>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</si>
  <si>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</si>
  <si>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</si>
  <si>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</si>
  <si>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</si>
  <si>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</si>
  <si>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</si>
  <si>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</si>
  <si>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</si>
  <si>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</si>
  <si>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</si>
  <si>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</si>
  <si>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</si>
  <si>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</si>
  <si>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</si>
  <si>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</si>
  <si>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</si>
  <si>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</si>
  <si>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</si>
  <si>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</si>
  <si>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</si>
  <si>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</si>
  <si>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</si>
  <si>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</si>
  <si>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</si>
  <si>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</si>
  <si>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</si>
  <si>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</si>
  <si>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</si>
  <si>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</si>
  <si>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</si>
  <si>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</si>
  <si>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</si>
  <si>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</si>
  <si>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</si>
  <si>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</si>
  <si>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</si>
  <si>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</si>
  <si>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</si>
  <si>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</si>
  <si>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</si>
  <si>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</si>
  <si>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</si>
  <si>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</si>
  <si>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</si>
  <si>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</si>
  <si>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</si>
  <si>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</si>
  <si>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</si>
  <si>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</si>
  <si>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</si>
  <si>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</si>
  <si>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</si>
  <si>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</si>
  <si>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</si>
  <si>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</si>
  <si>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</si>
  <si>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</si>
  <si>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</si>
  <si>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</si>
  <si>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</si>
  <si>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</si>
  <si>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</si>
  <si>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</si>
  <si>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</si>
  <si>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</si>
  <si>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</si>
  <si>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</si>
  <si>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</si>
  <si>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</si>
  <si>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</si>
  <si>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</si>
  <si>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</si>
  <si>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</si>
  <si>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</si>
  <si>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</si>
  <si>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</si>
  <si>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</si>
  <si>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</si>
  <si>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</si>
  <si>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</si>
  <si>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</si>
  <si>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</si>
  <si>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</si>
  <si>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</si>
  <si>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</si>
  <si>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</si>
  <si>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</si>
  <si>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</si>
  <si>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</si>
  <si>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</si>
  <si>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</si>
  <si>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</si>
  <si>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</si>
  <si>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</si>
  <si>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</si>
  <si>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</si>
  <si>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</si>
  <si>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</si>
  <si>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</si>
  <si>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</si>
  <si>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</si>
  <si>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</si>
  <si>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</si>
  <si>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</si>
  <si>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</si>
  <si>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</si>
  <si>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</si>
  <si>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</si>
  <si>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</si>
  <si>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</si>
  <si>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</si>
  <si>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</si>
  <si>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</si>
  <si>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</si>
  <si>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</si>
  <si>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</si>
  <si>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</si>
  <si>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</si>
  <si>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</si>
  <si>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</si>
  <si>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</si>
  <si>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</si>
  <si>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</si>
  <si>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</si>
  <si>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</si>
  <si>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</si>
  <si>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</si>
  <si>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</si>
  <si>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</si>
  <si>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</si>
  <si>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</si>
  <si>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</si>
  <si>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</si>
  <si>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</si>
  <si>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</si>
  <si>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</si>
  <si>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</si>
  <si>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</si>
  <si>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</si>
  <si>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</si>
  <si>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</si>
  <si>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</si>
  <si>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</si>
  <si>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</si>
  <si>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</si>
  <si>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</si>
  <si>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</si>
  <si>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</si>
  <si>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</si>
  <si>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</si>
  <si>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</si>
  <si>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</si>
  <si>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</si>
  <si>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</si>
  <si>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</si>
  <si>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</si>
  <si>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</si>
  <si>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</si>
  <si>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</si>
  <si>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</si>
  <si>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</si>
  <si>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</si>
  <si>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</si>
  <si>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</si>
  <si>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</si>
  <si>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</si>
  <si>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</si>
  <si>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</si>
  <si>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</si>
  <si>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</si>
  <si>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</si>
  <si>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</si>
  <si>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</si>
  <si>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</si>
  <si>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</si>
  <si>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</si>
  <si>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DE_GMK33</t>
  </si>
  <si>
    <t>DE_GHA33</t>
  </si>
  <si>
    <t>DE_GKO33</t>
  </si>
  <si>
    <t>DE_GBD33</t>
  </si>
  <si>
    <t>DE_GGA33</t>
  </si>
  <si>
    <t>DE_GWA33</t>
  </si>
  <si>
    <t>DE_GPD33</t>
  </si>
  <si>
    <t>DE_GGB33</t>
  </si>
  <si>
    <t>DE_GBH33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</si>
  <si>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</si>
  <si>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</si>
  <si>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</si>
  <si>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</si>
  <si>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</si>
  <si>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</si>
  <si>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</si>
  <si>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</si>
  <si>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</si>
  <si>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</si>
  <si>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</si>
  <si>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</si>
  <si>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</si>
  <si>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</si>
  <si>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</si>
  <si>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</si>
  <si>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</si>
  <si>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</si>
  <si>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</si>
  <si>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</si>
  <si>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</si>
  <si>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</si>
  <si>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</si>
  <si>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</si>
  <si>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</si>
  <si>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</si>
  <si>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</si>
  <si>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</si>
  <si>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</si>
  <si>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</si>
  <si>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</si>
  <si>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</si>
  <si>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</si>
  <si>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</si>
  <si>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</si>
  <si>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</si>
  <si>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</si>
  <si>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</si>
  <si>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</si>
  <si>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</si>
  <si>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</si>
  <si>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</si>
  <si>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</si>
  <si>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</si>
  <si>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</si>
  <si>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</si>
  <si>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</si>
  <si>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</si>
  <si>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</si>
  <si>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</si>
  <si>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</si>
  <si>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</si>
  <si>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</si>
  <si>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</si>
  <si>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</si>
  <si>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</si>
  <si>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</si>
  <si>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</si>
  <si>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</si>
  <si>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</si>
  <si>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</si>
  <si>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</si>
  <si>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</si>
  <si>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</si>
  <si>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</si>
  <si>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</si>
  <si>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</si>
  <si>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</si>
  <si>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</si>
  <si>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</si>
  <si>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</si>
  <si>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</si>
  <si>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</si>
  <si>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</si>
  <si>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</si>
  <si>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</si>
  <si>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</si>
  <si>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</si>
  <si>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</si>
  <si>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</si>
  <si>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</si>
  <si>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</si>
  <si>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</si>
  <si>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</si>
  <si>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</si>
  <si>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</si>
  <si>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</si>
  <si>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</si>
  <si>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</si>
  <si>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</si>
  <si>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</si>
  <si>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</si>
  <si>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</si>
  <si>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</si>
  <si>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</si>
  <si>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</si>
  <si>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</si>
  <si>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</si>
  <si>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</si>
  <si>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</si>
  <si>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</si>
  <si>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</si>
  <si>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</si>
  <si>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</si>
  <si>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</si>
  <si>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</si>
  <si>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</si>
  <si>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</si>
  <si>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</si>
  <si>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</si>
  <si>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</si>
  <si>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</si>
  <si>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</si>
  <si>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</si>
  <si>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</si>
  <si>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</si>
  <si>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</si>
  <si>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</si>
  <si>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</si>
  <si>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</si>
  <si>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</si>
  <si>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</si>
  <si>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</si>
  <si>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</si>
  <si>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</si>
  <si>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</si>
  <si>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</si>
  <si>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</si>
  <si>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</si>
  <si>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</si>
  <si>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</si>
  <si>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</si>
  <si>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</si>
  <si>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</si>
  <si>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</si>
  <si>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</si>
  <si>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</si>
  <si>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</si>
  <si>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</si>
  <si>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</si>
  <si>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</si>
  <si>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</si>
  <si>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</si>
  <si>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</si>
  <si>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</si>
  <si>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</si>
  <si>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</si>
  <si>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</si>
  <si>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</si>
  <si>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</si>
  <si>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</si>
  <si>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</si>
  <si>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</si>
  <si>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</si>
  <si>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</si>
  <si>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</si>
  <si>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</si>
  <si>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</si>
  <si>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</si>
  <si>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</si>
  <si>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</si>
  <si>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</si>
  <si>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</si>
  <si>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</si>
  <si>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</si>
  <si>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</si>
  <si>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</si>
  <si>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</si>
  <si>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NB</t>
  </si>
  <si>
    <t>NB-individuell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</si>
  <si>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</si>
  <si>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</si>
  <si>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</si>
  <si>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</si>
  <si>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</si>
  <si>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</si>
  <si>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</si>
  <si>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</si>
  <si>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</si>
  <si>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</si>
  <si>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</si>
  <si>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</si>
  <si>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</si>
  <si>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</si>
  <si>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</si>
  <si>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</si>
  <si>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</si>
  <si>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</si>
  <si>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</si>
  <si>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</si>
  <si>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</si>
  <si>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</si>
  <si>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</si>
  <si>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</si>
  <si>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</si>
  <si>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</si>
  <si>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</si>
  <si>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</si>
  <si>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</si>
  <si>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</si>
  <si>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</si>
  <si>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</si>
  <si>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</si>
  <si>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</si>
  <si>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</si>
  <si>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</si>
  <si>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</si>
  <si>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</si>
  <si>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</si>
  <si>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</si>
  <si>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</si>
  <si>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</si>
  <si>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</si>
  <si>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</si>
  <si>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</si>
  <si>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</si>
  <si>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</si>
  <si>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</si>
  <si>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</si>
  <si>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</si>
  <si>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</si>
  <si>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</si>
  <si>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</si>
  <si>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</si>
  <si>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DE_HEF33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</si>
  <si>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</si>
  <si>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</si>
  <si>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</si>
  <si>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</si>
  <si>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</si>
  <si>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</si>
  <si>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</si>
  <si>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</si>
  <si>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</si>
  <si>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</si>
  <si>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</si>
  <si>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</si>
  <si>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</si>
  <si>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</si>
  <si>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</si>
  <si>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DE_HMF33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</si>
  <si>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</si>
  <si>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</si>
  <si>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</si>
  <si>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</si>
  <si>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</si>
  <si>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</si>
  <si>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</si>
  <si>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</si>
  <si>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</si>
  <si>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</si>
  <si>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</si>
  <si>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</si>
  <si>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</si>
  <si>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</si>
  <si>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</si>
  <si>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</si>
  <si>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</si>
  <si>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</si>
  <si>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</si>
  <si>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</si>
  <si>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</si>
  <si>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</si>
  <si>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</si>
  <si>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</si>
  <si>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</si>
  <si>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</si>
  <si>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</si>
  <si>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</si>
  <si>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</si>
  <si>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</si>
  <si>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</si>
  <si>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</si>
  <si>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</si>
  <si>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</si>
  <si>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</si>
  <si>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</si>
  <si>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</si>
  <si>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</si>
  <si>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</si>
  <si>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</si>
  <si>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</si>
  <si>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</si>
  <si>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</si>
  <si>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</si>
  <si>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</si>
  <si>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</si>
  <si>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</si>
  <si>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</si>
  <si>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</si>
  <si>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</si>
  <si>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</si>
  <si>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</si>
  <si>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</si>
  <si>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</si>
  <si>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</si>
  <si>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</si>
  <si>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</si>
  <si>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</si>
  <si>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</si>
  <si>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</si>
  <si>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</si>
  <si>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</si>
  <si>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</si>
  <si>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</si>
  <si>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</si>
  <si>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</si>
  <si>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</si>
  <si>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</si>
  <si>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</si>
  <si>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</si>
  <si>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</si>
  <si>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</si>
  <si>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</si>
  <si>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</si>
  <si>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</si>
  <si>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</si>
  <si>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</si>
  <si>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</si>
  <si>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</si>
  <si>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</si>
  <si>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</si>
  <si>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</si>
  <si>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</si>
  <si>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</si>
  <si>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</si>
  <si>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</si>
  <si>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</si>
  <si>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</si>
  <si>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</si>
  <si>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</si>
  <si>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</si>
  <si>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</si>
  <si>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</si>
  <si>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</si>
  <si>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</si>
  <si>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</si>
  <si>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</si>
  <si>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</si>
  <si>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</si>
  <si>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</si>
  <si>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</si>
  <si>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</si>
  <si>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</si>
  <si>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</si>
  <si>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</si>
  <si>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</si>
  <si>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</si>
  <si>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</si>
  <si>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</si>
  <si>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</si>
  <si>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</si>
  <si>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</si>
  <si>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</si>
  <si>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</si>
  <si>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</si>
  <si>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</si>
  <si>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</si>
  <si>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</si>
  <si>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</si>
  <si>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</si>
  <si>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</si>
  <si>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</si>
  <si>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</si>
  <si>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</si>
  <si>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</si>
  <si>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</si>
  <si>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</si>
  <si>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</si>
  <si>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</si>
  <si>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</si>
  <si>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</si>
  <si>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</si>
  <si>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</si>
  <si>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</si>
  <si>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</si>
  <si>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</si>
  <si>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badenovaNETZE GmbH</t>
  </si>
  <si>
    <t>9800192200000</t>
  </si>
  <si>
    <t>Tullastraße 61</t>
  </si>
  <si>
    <t>D-79108</t>
  </si>
  <si>
    <t>Freiburg</t>
  </si>
  <si>
    <t>Oliver Brucker</t>
  </si>
  <si>
    <t>EDM.bnnetze@energiexchange.de</t>
  </si>
  <si>
    <t>0761/88888-2274</t>
  </si>
  <si>
    <t>badenovaNETZE</t>
  </si>
  <si>
    <t>10923 Tuttlingen</t>
  </si>
  <si>
    <t>THE0NKH700074000</t>
  </si>
  <si>
    <t>March/Breisgau</t>
  </si>
  <si>
    <t>Temp. hist. Ø (Monat)</t>
  </si>
  <si>
    <t>Gewichte (Temp.-ZR)    G(Tn)</t>
  </si>
  <si>
    <t>2009 - 2022</t>
  </si>
  <si>
    <t>badenovaNETZE GbmH</t>
  </si>
  <si>
    <t>Tuttlingen</t>
  </si>
  <si>
    <t>DE_GBA33</t>
  </si>
  <si>
    <t>AB-Datum</t>
  </si>
  <si>
    <t>BIS-Datum</t>
  </si>
  <si>
    <t>SLP-Temp-Gebiet#01 | Hist. Monatsdurchschnitt 10802 March/Breisgau</t>
  </si>
  <si>
    <t>SLP-Temp-Gebiet#02 | Hist. Monatsdurchschnitt 10923 Tuttlingen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</si>
</sst>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</fonts>
  <fills count="8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4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0" fillId="70" borderId="0" xfId="0" applyFill="1"/>
    <xf numFmtId="49" fontId="0" fillId="33" borderId="17" xfId="0" applyNumberForma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77" borderId="17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95" fontId="0" fillId="0" borderId="17" xfId="0" applyNumberFormat="1" applyBorder="1" applyAlignment="1">
      <alignment horizontal="left" vertical="center"/>
    </xf>
    <xf numFmtId="195" fontId="0" fillId="0" borderId="17" xfId="0" applyNumberFormat="1" applyBorder="1" applyAlignment="1" applyProtection="1">
      <alignment horizontal="left" vertical="center"/>
      <protection locked="0"/>
    </xf>
    <xf numFmtId="168" fontId="0" fillId="0" borderId="17" xfId="0" applyNumberFormat="1" applyBorder="1" applyAlignment="1" applyProtection="1">
      <alignment horizontal="left" vertical="center"/>
      <protection locked="0"/>
    </xf>
    <xf numFmtId="49" fontId="0" fillId="0" borderId="17" xfId="0" applyNumberForma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195" fontId="0" fillId="70" borderId="17" xfId="0" applyNumberFormat="1" applyFont="1" applyFill="1" applyBorder="1" applyAlignment="1" applyProtection="1">
      <alignment horizontal="left" vertical="center"/>
      <protection locked="0"/>
    </xf>
    <xf numFmtId="0" fontId="0" fillId="70" borderId="17" xfId="0" applyNumberFormat="1" applyFont="1" applyFill="1" applyBorder="1" applyAlignment="1" applyProtection="1">
      <alignment horizontal="left" vertical="center"/>
      <protection locked="0"/>
    </xf>
    <xf numFmtId="0" fontId="0" fillId="71" borderId="41" xfId="0" applyFill="1" applyBorder="1" applyAlignment="1" applyProtection="1">
      <alignment horizontal="center" vertical="center"/>
      <protection locked="0"/>
    </xf>
    <xf numFmtId="191" fontId="0" fillId="71" borderId="0" xfId="0" applyNumberFormat="1" applyFill="1" applyAlignment="1" applyProtection="1">
      <alignment horizontal="center" vertical="center"/>
      <protection locked="0"/>
    </xf>
    <xf numFmtId="169" fontId="0" fillId="71" borderId="78" xfId="0" applyNumberFormat="1" applyFill="1" applyBorder="1" applyAlignment="1" applyProtection="1">
      <alignment horizontal="center" vertical="center"/>
      <protection locked="0"/>
    </xf>
    <xf numFmtId="193" fontId="0" fillId="71" borderId="73" xfId="0" applyNumberFormat="1" applyFill="1" applyBorder="1" applyAlignment="1" applyProtection="1">
      <alignment horizontal="center" vertical="center"/>
      <protection locked="0"/>
    </xf>
    <xf numFmtId="192" fontId="0" fillId="71" borderId="0" xfId="0" applyNumberFormat="1" applyFill="1" applyAlignment="1" applyProtection="1">
      <alignment horizontal="center" vertical="center"/>
      <protection locked="0"/>
    </xf>
    <xf numFmtId="192" fontId="0" fillId="71" borderId="41" xfId="0" applyNumberFormat="1" applyFill="1" applyBorder="1" applyAlignment="1" applyProtection="1">
      <alignment horizontal="center" vertical="center"/>
      <protection locked="0"/>
    </xf>
    <xf numFmtId="0" fontId="94" fillId="37" borderId="22" xfId="0" applyFont="1" applyFill="1" applyBorder="1" applyAlignment="1">
      <alignment horizontal="center"/>
    </xf>
    <xf numFmtId="0" fontId="94" fillId="37" borderId="23" xfId="0" applyFont="1" applyFill="1" applyBorder="1" applyAlignment="1">
      <alignment horizontal="center"/>
    </xf>
    <xf numFmtId="0" fontId="94" fillId="37" borderId="21" xfId="0" applyFont="1" applyFill="1" applyBorder="1" applyAlignment="1">
      <alignment horizontal="center"/>
    </xf>
    <xf numFmtId="14" fontId="95" fillId="70" borderId="69" xfId="0" applyNumberFormat="1" applyFont="1" applyFill="1" applyBorder="1" applyAlignment="1">
      <alignment horizontal="center"/>
    </xf>
    <xf numFmtId="14" fontId="95" fillId="70" borderId="41" xfId="0" applyNumberFormat="1" applyFont="1" applyFill="1" applyBorder="1" applyAlignment="1">
      <alignment horizontal="center"/>
    </xf>
    <xf numFmtId="0" fontId="95" fillId="70" borderId="73" xfId="0" applyFont="1" applyFill="1" applyBorder="1" applyAlignment="1">
      <alignment horizontal="center"/>
    </xf>
    <xf numFmtId="14" fontId="95" fillId="70" borderId="27" xfId="0" applyNumberFormat="1" applyFont="1" applyFill="1" applyBorder="1" applyAlignment="1">
      <alignment horizontal="center"/>
    </xf>
    <xf numFmtId="14" fontId="95" fillId="70" borderId="26" xfId="0" applyNumberFormat="1" applyFont="1" applyFill="1" applyBorder="1" applyAlignment="1">
      <alignment horizontal="center"/>
    </xf>
    <xf numFmtId="0" fontId="95" fillId="70" borderId="25" xfId="0" applyFont="1" applyFill="1" applyBorder="1" applyAlignment="1">
      <alignment horizontal="center"/>
    </xf>
    <xf numFmtId="14" fontId="95" fillId="70" borderId="0" xfId="0" applyNumberFormat="1" applyFont="1" applyFill="1" applyAlignment="1">
      <alignment horizontal="center"/>
    </xf>
    <xf numFmtId="192" fontId="94" fillId="70" borderId="21" xfId="0" applyNumberFormat="1" applyFont="1" applyFill="1" applyBorder="1" applyAlignment="1">
      <alignment horizontal="center"/>
    </xf>
    <xf numFmtId="192" fontId="94" fillId="70" borderId="73" xfId="0" applyNumberFormat="1" applyFont="1" applyFill="1" applyBorder="1" applyAlignment="1">
      <alignment horizontal="center"/>
    </xf>
    <xf numFmtId="14" fontId="95" fillId="70" borderId="56" xfId="0" applyNumberFormat="1" applyFont="1" applyFill="1" applyBorder="1" applyAlignment="1">
      <alignment horizontal="center"/>
    </xf>
    <xf numFmtId="192" fontId="94" fillId="70" borderId="25" xfId="0" applyNumberFormat="1" applyFont="1" applyFill="1" applyBorder="1" applyAlignment="1">
      <alignment horizontal="center"/>
    </xf>
    <xf numFmtId="14" fontId="95" fillId="78" borderId="22" xfId="0" applyNumberFormat="1" applyFont="1" applyFill="1" applyBorder="1" applyAlignment="1">
      <alignment horizontal="center"/>
    </xf>
    <xf numFmtId="14" fontId="95" fillId="78" borderId="24" xfId="0" applyNumberFormat="1" applyFont="1" applyFill="1" applyBorder="1" applyAlignment="1">
      <alignment horizontal="center"/>
    </xf>
    <xf numFmtId="192" fontId="94" fillId="79" borderId="21" xfId="0" applyNumberFormat="1" applyFont="1" applyFill="1" applyBorder="1" applyAlignment="1">
      <alignment horizontal="center"/>
    </xf>
    <xf numFmtId="192" fontId="94" fillId="80" borderId="21" xfId="0" applyNumberFormat="1" applyFont="1" applyFill="1" applyBorder="1" applyAlignment="1">
      <alignment horizontal="center"/>
    </xf>
    <xf numFmtId="14" fontId="95" fillId="78" borderId="69" xfId="0" applyNumberFormat="1" applyFont="1" applyFill="1" applyBorder="1" applyAlignment="1">
      <alignment horizontal="center"/>
    </xf>
    <xf numFmtId="14" fontId="95" fillId="78" borderId="0" xfId="0" applyNumberFormat="1" applyFont="1" applyFill="1" applyAlignment="1">
      <alignment horizontal="center"/>
    </xf>
    <xf numFmtId="192" fontId="94" fillId="79" borderId="73" xfId="0" applyNumberFormat="1" applyFont="1" applyFill="1" applyBorder="1" applyAlignment="1">
      <alignment horizontal="center"/>
    </xf>
    <xf numFmtId="192" fontId="94" fillId="80" borderId="73" xfId="0" applyNumberFormat="1" applyFont="1" applyFill="1" applyBorder="1" applyAlignment="1">
      <alignment horizontal="center"/>
    </xf>
    <xf numFmtId="14" fontId="95" fillId="78" borderId="27" xfId="0" applyNumberFormat="1" applyFont="1" applyFill="1" applyBorder="1" applyAlignment="1">
      <alignment horizontal="center"/>
    </xf>
    <xf numFmtId="14" fontId="95" fillId="78" borderId="56" xfId="0" applyNumberFormat="1" applyFont="1" applyFill="1" applyBorder="1" applyAlignment="1">
      <alignment horizontal="center"/>
    </xf>
    <xf numFmtId="192" fontId="94" fillId="79" borderId="25" xfId="0" applyNumberFormat="1" applyFont="1" applyFill="1" applyBorder="1" applyAlignment="1">
      <alignment horizontal="center"/>
    </xf>
    <xf numFmtId="192" fontId="94" fillId="80" borderId="25" xfId="0" applyNumberFormat="1" applyFont="1" applyFill="1" applyBorder="1" applyAlignment="1">
      <alignment horizont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1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5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542925</xdr:colOff>
      <xdr:row>39</xdr:row>
      <xdr:rowOff>95250</xdr:rowOff>
    </xdr:from>
    <xdr:to>
      <xdr:col>14</xdr:col>
      <xdr:colOff>1512794</xdr:colOff>
      <xdr:row>47</xdr:row>
      <xdr:rowOff>169259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4A35286-382E-4DBB-9ED1-A7707932F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820400" y="8905875"/>
          <a:ext cx="3332069" cy="1636109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AC06FDA1-ABC9-4AD7-8271-1D639D1C922B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52378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3" name="BDEW-GEODE-Logo-Links" descr="geode_logo">
          <a:extLst>
            <a:ext uri="{FF2B5EF4-FFF2-40B4-BE49-F238E27FC236}">
              <a16:creationId xmlns:a16="http://schemas.microsoft.com/office/drawing/2014/main" id="{3E0AE687-CA9A-40E3-B124-DC310F99343F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0CDE52E-9ECF-49C6-8361-AA8DF2CBB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542925</xdr:colOff>
      <xdr:row>39</xdr:row>
      <xdr:rowOff>95250</xdr:rowOff>
    </xdr:from>
    <xdr:to>
      <xdr:col>14</xdr:col>
      <xdr:colOff>1512794</xdr:colOff>
      <xdr:row>47</xdr:row>
      <xdr:rowOff>169259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AB252325-C0EB-4F2E-AEBE-038B079DC5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820400" y="8905875"/>
          <a:ext cx="3332069" cy="1636109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E-MAKS/E-MAKS-2-EM/01_Erdgas/01_Bilanzierung/03_Temperaturen/05_Langj&#228;hrige%20Monatsmitteltemperatur/2023/Sicherung_Ver&#246;ffentlichungsdateien/PUB_202310_SLP_Gas_Verfahrensspezifische_Parameter_badenovaNETZE_THE0NKH700074000.xlsx?952390E0" TargetMode="External"/><Relationship Id="rId1" Type="http://schemas.openxmlformats.org/officeDocument/2006/relationships/externalLinkPath" Target="file:///\\952390E0\PUB_202310_SLP_Gas_Verfahrensspezifische_Parameter_badenovaNETZE_THE0NKH700074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#01"/>
      <sheetName val="SLP-Temp-Gebiet#02"/>
      <sheetName val="SLP-Profile"/>
      <sheetName val="SLP-Feiertage"/>
      <sheetName val="BDEW-Standard"/>
      <sheetName val="Wochentag F(WT)"/>
      <sheetName val="HIST_MONATSDURCHSCHNI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  <row r="95">
          <cell r="B95" t="str">
            <v>BB_HEF03</v>
          </cell>
          <cell r="C95" t="str">
            <v>R13</v>
          </cell>
          <cell r="D95" t="str">
            <v>Bundeslandprofil</v>
          </cell>
          <cell r="E95">
            <v>3.0217398597999998</v>
          </cell>
          <cell r="F95">
            <v>-37.182359950799999</v>
          </cell>
          <cell r="G95">
            <v>5.6477169550999999</v>
          </cell>
          <cell r="H95">
            <v>0.1152387563712</v>
          </cell>
          <cell r="I95">
            <v>40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 t="str">
            <v>BB_HEF04</v>
          </cell>
          <cell r="C96" t="str">
            <v>R14</v>
          </cell>
          <cell r="D96" t="str">
            <v>Bundeslandprofil</v>
          </cell>
          <cell r="E96">
            <v>3.1592940409999999</v>
          </cell>
          <cell r="F96">
            <v>-37.4068859976</v>
          </cell>
          <cell r="G96">
            <v>6.1418925604999997</v>
          </cell>
          <cell r="H96">
            <v>9.2266110628999989E-2</v>
          </cell>
          <cell r="I96">
            <v>40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 t="str">
            <v>BB_HMF03</v>
          </cell>
          <cell r="C97" t="str">
            <v>R23</v>
          </cell>
          <cell r="D97" t="str">
            <v>Bundeslandprofil</v>
          </cell>
          <cell r="E97">
            <v>2.3548082787000002</v>
          </cell>
          <cell r="F97">
            <v>-34.715029850400001</v>
          </cell>
          <cell r="G97">
            <v>5.8675639272</v>
          </cell>
          <cell r="H97">
            <v>0.15092742664779998</v>
          </cell>
          <cell r="I97">
            <v>40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 t="str">
            <v>BB_HMF04</v>
          </cell>
          <cell r="C98" t="str">
            <v>R24</v>
          </cell>
          <cell r="D98" t="str">
            <v>Bundeslandprofil</v>
          </cell>
          <cell r="E98">
            <v>2.4859160575999999</v>
          </cell>
          <cell r="F98">
            <v>-35.043597772699997</v>
          </cell>
          <cell r="G98">
            <v>6.2818214214000001</v>
          </cell>
          <cell r="H98">
            <v>0.12839042175739998</v>
          </cell>
          <cell r="I98">
            <v>40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 t="str">
            <v>BE_HEF03</v>
          </cell>
          <cell r="C99" t="str">
            <v>B13</v>
          </cell>
          <cell r="D99" t="str">
            <v>Bundeslandprofil</v>
          </cell>
          <cell r="E99">
            <v>3.0553842454</v>
          </cell>
          <cell r="F99">
            <v>-37.183637422300002</v>
          </cell>
          <cell r="G99">
            <v>5.6810824598999998</v>
          </cell>
          <cell r="H99">
            <v>0.10016998486249999</v>
          </cell>
          <cell r="I99">
            <v>40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 t="str">
            <v>BE_HEF04</v>
          </cell>
          <cell r="C100" t="str">
            <v>B14</v>
          </cell>
          <cell r="D100" t="str">
            <v>Bundeslandprofil</v>
          </cell>
          <cell r="E100">
            <v>3.1935978110000001</v>
          </cell>
          <cell r="F100">
            <v>-37.414247826900002</v>
          </cell>
          <cell r="G100">
            <v>6.1824021474000004</v>
          </cell>
          <cell r="H100">
            <v>7.8921271362500003E-2</v>
          </cell>
          <cell r="I100">
            <v>40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 t="str">
            <v>BE_HMF03</v>
          </cell>
          <cell r="C101" t="str">
            <v>B23</v>
          </cell>
          <cell r="D101" t="str">
            <v>Bundeslandprofil</v>
          </cell>
          <cell r="E101">
            <v>2.3987552319000001</v>
          </cell>
          <cell r="F101">
            <v>-34.723487774500001</v>
          </cell>
          <cell r="G101">
            <v>5.7996446390000003</v>
          </cell>
          <cell r="H101">
            <v>0.12390732033749999</v>
          </cell>
          <cell r="I101">
            <v>40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 t="str">
            <v>BE_HMF04</v>
          </cell>
          <cell r="C102" t="str">
            <v>B24</v>
          </cell>
          <cell r="D102" t="str">
            <v>Bundeslandprofil</v>
          </cell>
          <cell r="E102">
            <v>2.5297380184999998</v>
          </cell>
          <cell r="F102">
            <v>-35.030014509799997</v>
          </cell>
          <cell r="G102">
            <v>6.2051108885000001</v>
          </cell>
          <cell r="H102">
            <v>0.10300644025</v>
          </cell>
          <cell r="I102">
            <v>40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 t="str">
            <v>BW_HEF03</v>
          </cell>
          <cell r="C103" t="str">
            <v>W13</v>
          </cell>
          <cell r="D103" t="str">
            <v>Bundeslandprofil</v>
          </cell>
          <cell r="E103">
            <v>3.0385546748999999</v>
          </cell>
          <cell r="F103">
            <v>-37.182990840800002</v>
          </cell>
          <cell r="G103">
            <v>5.6644868649999998</v>
          </cell>
          <cell r="H103">
            <v>9.5584450725400005E-2</v>
          </cell>
          <cell r="I103">
            <v>40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 t="str">
            <v>BW_HEF04</v>
          </cell>
          <cell r="C104" t="str">
            <v>W14</v>
          </cell>
          <cell r="D104" t="str">
            <v>Bundeslandprofil</v>
          </cell>
          <cell r="E104">
            <v>3.1764404493999998</v>
          </cell>
          <cell r="F104">
            <v>-37.410583151700003</v>
          </cell>
          <cell r="G104">
            <v>6.1622335977000002</v>
          </cell>
          <cell r="H104">
            <v>7.5937720365800002E-2</v>
          </cell>
          <cell r="I104">
            <v>40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 t="str">
            <v>BW_HMF03</v>
          </cell>
          <cell r="C105" t="str">
            <v>W23</v>
          </cell>
          <cell r="D105" t="str">
            <v>Bundeslandprofil</v>
          </cell>
          <cell r="E105">
            <v>2.3767683503999999</v>
          </cell>
          <cell r="F105">
            <v>-34.719233251299997</v>
          </cell>
          <cell r="G105">
            <v>5.8332161640000004</v>
          </cell>
          <cell r="H105">
            <v>0.12181819977010001</v>
          </cell>
          <cell r="I105">
            <v>40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 t="str">
            <v>BW_HMF04</v>
          </cell>
          <cell r="C106" t="str">
            <v>W24</v>
          </cell>
          <cell r="D106" t="str">
            <v>Bundeslandprofil</v>
          </cell>
          <cell r="E106">
            <v>2.5078170188</v>
          </cell>
          <cell r="F106">
            <v>-35.036736334399997</v>
          </cell>
          <cell r="G106">
            <v>6.2430159032999999</v>
          </cell>
          <cell r="H106">
            <v>0.1025195150444</v>
          </cell>
          <cell r="I106">
            <v>40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 t="str">
            <v>BY_HEF03</v>
          </cell>
          <cell r="C107" t="str">
            <v>G13</v>
          </cell>
          <cell r="D107" t="str">
            <v>Bundeslandprofil</v>
          </cell>
          <cell r="E107">
            <v>3.0217398597999998</v>
          </cell>
          <cell r="F107">
            <v>-37.182359950799999</v>
          </cell>
          <cell r="G107">
            <v>5.6477169550999999</v>
          </cell>
          <cell r="H107">
            <v>9.5626240752000005E-2</v>
          </cell>
          <cell r="I107">
            <v>40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 t="str">
            <v>BY_HEF04</v>
          </cell>
          <cell r="C108" t="str">
            <v>G14</v>
          </cell>
          <cell r="D108" t="str">
            <v>Bundeslandprofil</v>
          </cell>
          <cell r="E108">
            <v>3.1592940409999999</v>
          </cell>
          <cell r="F108">
            <v>-37.4068859976</v>
          </cell>
          <cell r="G108">
            <v>6.1418925604999997</v>
          </cell>
          <cell r="H108">
            <v>7.6563315902499998E-2</v>
          </cell>
          <cell r="I108">
            <v>40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 t="str">
            <v>BY_HMF03</v>
          </cell>
          <cell r="C109" t="str">
            <v>G23</v>
          </cell>
          <cell r="D109" t="str">
            <v>Bundeslandprofil</v>
          </cell>
          <cell r="E109">
            <v>2.3548082787000002</v>
          </cell>
          <cell r="F109">
            <v>-34.715029850400001</v>
          </cell>
          <cell r="G109">
            <v>5.8675639272</v>
          </cell>
          <cell r="H109">
            <v>0.12524104642549999</v>
          </cell>
          <cell r="I109">
            <v>40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B110" t="str">
            <v>BY_HMF04</v>
          </cell>
          <cell r="C110" t="str">
            <v>G24</v>
          </cell>
          <cell r="D110" t="str">
            <v>Bundeslandprofil</v>
          </cell>
          <cell r="E110">
            <v>2.4859160575999999</v>
          </cell>
          <cell r="F110">
            <v>-35.043597772699997</v>
          </cell>
          <cell r="G110">
            <v>6.2818214214000001</v>
          </cell>
          <cell r="H110">
            <v>0.1065396205915</v>
          </cell>
          <cell r="I110">
            <v>40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 t="str">
            <v>HB_HEF03</v>
          </cell>
          <cell r="C111" t="str">
            <v>M13</v>
          </cell>
          <cell r="D111" t="str">
            <v>Bundeslandprofil</v>
          </cell>
          <cell r="E111">
            <v>3.0890720564</v>
          </cell>
          <cell r="F111">
            <v>-37.184949682000003</v>
          </cell>
          <cell r="G111">
            <v>5.7137959130000002</v>
          </cell>
          <cell r="H111">
            <v>8.1525544629600002E-2</v>
          </cell>
          <cell r="I111">
            <v>40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 t="str">
            <v>HB_HEF04</v>
          </cell>
          <cell r="C112" t="str">
            <v>M14</v>
          </cell>
          <cell r="D112" t="str">
            <v>Bundeslandprofil</v>
          </cell>
          <cell r="E112">
            <v>3.2279445929000001</v>
          </cell>
          <cell r="F112">
            <v>-37.4214799891</v>
          </cell>
          <cell r="G112">
            <v>6.2222288165000004</v>
          </cell>
          <cell r="H112">
            <v>6.3044340009600006E-2</v>
          </cell>
          <cell r="I112">
            <v>40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 t="str">
            <v>HB_HMF03</v>
          </cell>
          <cell r="C113" t="str">
            <v>M23</v>
          </cell>
          <cell r="D113" t="str">
            <v>Bundeslandprofil</v>
          </cell>
          <cell r="E113">
            <v>2.4428072126</v>
          </cell>
          <cell r="F113">
            <v>-34.732143756500001</v>
          </cell>
          <cell r="G113">
            <v>5.7347347252</v>
          </cell>
          <cell r="H113">
            <v>9.4097006726700003E-2</v>
          </cell>
          <cell r="I113">
            <v>40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 t="str">
            <v>HB_HMF04</v>
          </cell>
          <cell r="C114" t="str">
            <v>M24</v>
          </cell>
          <cell r="D114" t="str">
            <v>Bundeslandprofil</v>
          </cell>
          <cell r="E114">
            <v>2.5736652121999999</v>
          </cell>
          <cell r="F114">
            <v>-35.016944175900001</v>
          </cell>
          <cell r="G114">
            <v>6.1318139781000003</v>
          </cell>
          <cell r="H114">
            <v>7.58603548598E-2</v>
          </cell>
          <cell r="I114">
            <v>40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 t="str">
            <v>HE_HEF03</v>
          </cell>
          <cell r="C115" t="str">
            <v>F13</v>
          </cell>
          <cell r="D115" t="str">
            <v>Bundeslandprofil</v>
          </cell>
          <cell r="E115">
            <v>3.0553842454</v>
          </cell>
          <cell r="F115">
            <v>-37.183637422300002</v>
          </cell>
          <cell r="G115">
            <v>5.6810824598999998</v>
          </cell>
          <cell r="H115">
            <v>9.5018385640999986E-2</v>
          </cell>
          <cell r="I115">
            <v>40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 t="str">
            <v>HE_HEF04</v>
          </cell>
          <cell r="C116" t="str">
            <v>F14</v>
          </cell>
          <cell r="D116" t="str">
            <v>Bundeslandprofil</v>
          </cell>
          <cell r="E116">
            <v>3.1935978110000001</v>
          </cell>
          <cell r="F116">
            <v>-37.414247826900002</v>
          </cell>
          <cell r="G116">
            <v>6.1824021474000004</v>
          </cell>
          <cell r="H116">
            <v>7.4862463120999992E-2</v>
          </cell>
          <cell r="I116">
            <v>40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 t="str">
            <v>HE_HMF03</v>
          </cell>
          <cell r="C117" t="str">
            <v>F23</v>
          </cell>
          <cell r="D117" t="str">
            <v>Bundeslandprofil</v>
          </cell>
          <cell r="E117">
            <v>2.3987552319000001</v>
          </cell>
          <cell r="F117">
            <v>-34.723487774500001</v>
          </cell>
          <cell r="G117">
            <v>5.7996446390000003</v>
          </cell>
          <cell r="H117">
            <v>0.11753494386299999</v>
          </cell>
          <cell r="I117">
            <v>40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 t="str">
            <v>HE_HMF04</v>
          </cell>
          <cell r="C118" t="str">
            <v>F24</v>
          </cell>
          <cell r="D118" t="str">
            <v>Bundeslandprofil</v>
          </cell>
          <cell r="E118">
            <v>2.5297380184999998</v>
          </cell>
          <cell r="F118">
            <v>-35.030014509799997</v>
          </cell>
          <cell r="G118">
            <v>6.2051108885000001</v>
          </cell>
          <cell r="H118">
            <v>9.7708966179999995E-2</v>
          </cell>
          <cell r="I118">
            <v>40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 t="str">
            <v>HH_HEF03</v>
          </cell>
          <cell r="C119" t="str">
            <v>H13</v>
          </cell>
          <cell r="D119" t="str">
            <v>Bundeslandprofil</v>
          </cell>
          <cell r="E119">
            <v>3.0722214501999998</v>
          </cell>
          <cell r="F119">
            <v>-37.184284425999998</v>
          </cell>
          <cell r="G119">
            <v>5.6975233565999996</v>
          </cell>
          <cell r="H119">
            <v>9.0418848926399994E-2</v>
          </cell>
          <cell r="I119">
            <v>40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 t="str">
            <v>HH_HEF04</v>
          </cell>
          <cell r="C120" t="str">
            <v>H14</v>
          </cell>
          <cell r="D120" t="str">
            <v>Bundeslandprofil</v>
          </cell>
          <cell r="E120">
            <v>3.2107659244</v>
          </cell>
          <cell r="F120">
            <v>-37.417880080300002</v>
          </cell>
          <cell r="G120">
            <v>6.2023999708000002</v>
          </cell>
          <cell r="H120">
            <v>7.0601700753600005E-2</v>
          </cell>
          <cell r="I120">
            <v>40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 t="str">
            <v>HH_HMF03</v>
          </cell>
          <cell r="C121" t="str">
            <v>H23</v>
          </cell>
          <cell r="D121" t="str">
            <v>Bundeslandprofil</v>
          </cell>
          <cell r="E121">
            <v>2.4207683707999998</v>
          </cell>
          <cell r="F121">
            <v>-34.727791725099998</v>
          </cell>
          <cell r="G121">
            <v>5.7668252224999996</v>
          </cell>
          <cell r="H121">
            <v>0.1082275311744</v>
          </cell>
          <cell r="I121">
            <v>40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 t="str">
            <v>HH_HMF04</v>
          </cell>
          <cell r="C122" t="str">
            <v>H24</v>
          </cell>
          <cell r="D122" t="str">
            <v>Bundeslandprofil</v>
          </cell>
          <cell r="E122">
            <v>2.5516882275000001</v>
          </cell>
          <cell r="F122">
            <v>-35.023421941899997</v>
          </cell>
          <cell r="G122">
            <v>6.1680699420999998</v>
          </cell>
          <cell r="H122">
            <v>8.8705762435199995E-2</v>
          </cell>
          <cell r="I122">
            <v>40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 t="str">
            <v>MV_HEF03</v>
          </cell>
          <cell r="C123" t="str">
            <v>V13</v>
          </cell>
          <cell r="D123" t="str">
            <v>Bundeslandprofil</v>
          </cell>
          <cell r="E123">
            <v>3.0217398597999998</v>
          </cell>
          <cell r="F123">
            <v>-37.182359950799999</v>
          </cell>
          <cell r="G123">
            <v>5.6477169550999999</v>
          </cell>
          <cell r="H123">
            <v>0.115116939504</v>
          </cell>
          <cell r="I123">
            <v>40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 t="str">
            <v>MV_HEF04</v>
          </cell>
          <cell r="C124" t="str">
            <v>V14</v>
          </cell>
          <cell r="D124" t="str">
            <v>Bundeslandprofil</v>
          </cell>
          <cell r="E124">
            <v>3.1592940409999999</v>
          </cell>
          <cell r="F124">
            <v>-37.4068859976</v>
          </cell>
          <cell r="G124">
            <v>6.1418925604999997</v>
          </cell>
          <cell r="H124">
            <v>9.2168577742499994E-2</v>
          </cell>
          <cell r="I124">
            <v>40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 t="str">
            <v>MV_HMF03</v>
          </cell>
          <cell r="C125" t="str">
            <v>V23</v>
          </cell>
          <cell r="D125" t="str">
            <v>Bundeslandprofil</v>
          </cell>
          <cell r="E125">
            <v>2.3548082787000002</v>
          </cell>
          <cell r="F125">
            <v>-34.715029850400001</v>
          </cell>
          <cell r="G125">
            <v>5.8675639272</v>
          </cell>
          <cell r="H125">
            <v>0.15076788391349999</v>
          </cell>
          <cell r="I125">
            <v>40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 t="str">
            <v>MV_HMF04</v>
          </cell>
          <cell r="C126" t="str">
            <v>V24</v>
          </cell>
          <cell r="D126" t="str">
            <v>Bundeslandprofil</v>
          </cell>
          <cell r="E126">
            <v>2.4859160575999999</v>
          </cell>
          <cell r="F126">
            <v>-35.043597772699997</v>
          </cell>
          <cell r="G126">
            <v>6.2818214214000001</v>
          </cell>
          <cell r="H126">
            <v>0.1282547024955</v>
          </cell>
          <cell r="I126">
            <v>40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 t="str">
            <v>NI_HEF03</v>
          </cell>
          <cell r="C127" t="str">
            <v>I13</v>
          </cell>
          <cell r="D127" t="str">
            <v>Bundeslandprofil</v>
          </cell>
          <cell r="E127">
            <v>3.0553842454</v>
          </cell>
          <cell r="F127">
            <v>-37.183637422300002</v>
          </cell>
          <cell r="G127">
            <v>5.6810824598999998</v>
          </cell>
          <cell r="H127">
            <v>0.1029175044473</v>
          </cell>
          <cell r="I127">
            <v>40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 t="str">
            <v>NI_HEF04</v>
          </cell>
          <cell r="C128" t="str">
            <v>I14</v>
          </cell>
          <cell r="D128" t="str">
            <v>Bundeslandprofil</v>
          </cell>
          <cell r="E128">
            <v>3.1935978110000001</v>
          </cell>
          <cell r="F128">
            <v>-37.414247826900002</v>
          </cell>
          <cell r="G128">
            <v>6.1824021474000004</v>
          </cell>
          <cell r="H128">
            <v>8.1085969091300003E-2</v>
          </cell>
          <cell r="I128">
            <v>40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 t="str">
            <v>NI_HMF03</v>
          </cell>
          <cell r="C129" t="str">
            <v>I23</v>
          </cell>
          <cell r="D129" t="str">
            <v>Bundeslandprofil</v>
          </cell>
          <cell r="E129">
            <v>2.3987552319000001</v>
          </cell>
          <cell r="F129">
            <v>-34.723487774500001</v>
          </cell>
          <cell r="G129">
            <v>5.7996446390000003</v>
          </cell>
          <cell r="H129">
            <v>0.12730592112389999</v>
          </cell>
          <cell r="I129">
            <v>40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 t="str">
            <v>NI_HMF04</v>
          </cell>
          <cell r="C130" t="str">
            <v>I24</v>
          </cell>
          <cell r="D130" t="str">
            <v>Bundeslandprofil</v>
          </cell>
          <cell r="E130">
            <v>2.5297380184999998</v>
          </cell>
          <cell r="F130">
            <v>-35.030014509799997</v>
          </cell>
          <cell r="G130">
            <v>6.2051108885000001</v>
          </cell>
          <cell r="H130">
            <v>0.105831759754</v>
          </cell>
          <cell r="I130">
            <v>40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 t="str">
            <v>NW_HEF03</v>
          </cell>
          <cell r="C131" t="str">
            <v>N13</v>
          </cell>
          <cell r="D131" t="str">
            <v>Bundeslandprofil</v>
          </cell>
          <cell r="E131">
            <v>3.0553842454</v>
          </cell>
          <cell r="F131">
            <v>-37.183637422300002</v>
          </cell>
          <cell r="G131">
            <v>5.6810824598999998</v>
          </cell>
          <cell r="H131">
            <v>8.2196627578599996E-2</v>
          </cell>
          <cell r="I131">
            <v>40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NW_HEF04</v>
          </cell>
          <cell r="C132" t="str">
            <v>N14</v>
          </cell>
          <cell r="D132" t="str">
            <v>Bundeslandprofil</v>
          </cell>
          <cell r="E132">
            <v>3.1935978110000001</v>
          </cell>
          <cell r="F132">
            <v>-37.414247826900002</v>
          </cell>
          <cell r="G132">
            <v>6.1824021474000004</v>
          </cell>
          <cell r="H132">
            <v>6.4760540386599993E-2</v>
          </cell>
          <cell r="I132">
            <v>40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 t="str">
            <v>NW_HMF03</v>
          </cell>
          <cell r="C133" t="str">
            <v>N23</v>
          </cell>
          <cell r="D133" t="str">
            <v>Bundeslandprofil</v>
          </cell>
          <cell r="E133">
            <v>2.3987552319000001</v>
          </cell>
          <cell r="F133">
            <v>-34.723487774500001</v>
          </cell>
          <cell r="G133">
            <v>5.7996446390000003</v>
          </cell>
          <cell r="H133">
            <v>0.10167480685979999</v>
          </cell>
          <cell r="I133">
            <v>40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B134" t="str">
            <v>NW_HMF04</v>
          </cell>
          <cell r="C134" t="str">
            <v>N24</v>
          </cell>
          <cell r="D134" t="str">
            <v>Bundeslandprofil</v>
          </cell>
          <cell r="E134">
            <v>2.5297380184999998</v>
          </cell>
          <cell r="F134">
            <v>-35.030014509799997</v>
          </cell>
          <cell r="G134">
            <v>6.2051108885000001</v>
          </cell>
          <cell r="H134">
            <v>8.4524141827999999E-2</v>
          </cell>
          <cell r="I134">
            <v>40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</row>
        <row r="135">
          <cell r="B135" t="str">
            <v>RP_HEF03</v>
          </cell>
          <cell r="C135" t="str">
            <v>P13</v>
          </cell>
          <cell r="D135" t="str">
            <v>Bundeslandprofil</v>
          </cell>
          <cell r="E135">
            <v>3.0385546748999999</v>
          </cell>
          <cell r="F135">
            <v>-37.182990840800002</v>
          </cell>
          <cell r="G135">
            <v>5.6644868649999998</v>
          </cell>
          <cell r="H135">
            <v>9.3339574874000006E-2</v>
          </cell>
          <cell r="I135">
            <v>40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</row>
        <row r="136">
          <cell r="B136" t="str">
            <v>RP_HEF04</v>
          </cell>
          <cell r="C136" t="str">
            <v>P14</v>
          </cell>
          <cell r="D136" t="str">
            <v>Bundeslandprofil</v>
          </cell>
          <cell r="E136">
            <v>3.1764404493999998</v>
          </cell>
          <cell r="F136">
            <v>-37.410583151700003</v>
          </cell>
          <cell r="G136">
            <v>6.1622335977000002</v>
          </cell>
          <cell r="H136">
            <v>7.4154263398000006E-2</v>
          </cell>
          <cell r="I136">
            <v>40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B137" t="str">
            <v>RP_HMF03</v>
          </cell>
          <cell r="C137" t="str">
            <v>P23</v>
          </cell>
          <cell r="D137" t="str">
            <v>Bundeslandprofil</v>
          </cell>
          <cell r="E137">
            <v>2.3767683503999999</v>
          </cell>
          <cell r="F137">
            <v>-34.719233251299997</v>
          </cell>
          <cell r="G137">
            <v>5.8332161640000004</v>
          </cell>
          <cell r="H137">
            <v>0.11895720373100001</v>
          </cell>
          <cell r="I137">
            <v>40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</row>
        <row r="138">
          <cell r="B138" t="str">
            <v>RP_HMF04</v>
          </cell>
          <cell r="C138" t="str">
            <v>P24</v>
          </cell>
          <cell r="D138" t="str">
            <v>Bundeslandprofil</v>
          </cell>
          <cell r="E138">
            <v>2.5078170188</v>
          </cell>
          <cell r="F138">
            <v>-35.036736334399997</v>
          </cell>
          <cell r="G138">
            <v>6.2430159032999999</v>
          </cell>
          <cell r="H138">
            <v>0.10011176376399999</v>
          </cell>
          <cell r="I138">
            <v>40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</row>
        <row r="139">
          <cell r="B139" t="str">
            <v>SH_HEF03</v>
          </cell>
          <cell r="C139" t="str">
            <v>L13</v>
          </cell>
          <cell r="D139" t="str">
            <v>Bundeslandprofil</v>
          </cell>
          <cell r="E139">
            <v>3.0385546748999999</v>
          </cell>
          <cell r="F139">
            <v>-37.182990840800002</v>
          </cell>
          <cell r="G139">
            <v>5.6644868649999998</v>
          </cell>
          <cell r="H139">
            <v>0.1064543759006</v>
          </cell>
          <cell r="I139">
            <v>40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B140" t="str">
            <v>SH_HEF04</v>
          </cell>
          <cell r="C140" t="str">
            <v>L14</v>
          </cell>
          <cell r="D140" t="str">
            <v>Bundeslandprofil</v>
          </cell>
          <cell r="E140">
            <v>3.1764404493999998</v>
          </cell>
          <cell r="F140">
            <v>-37.410583151700003</v>
          </cell>
          <cell r="G140">
            <v>6.1622335977000002</v>
          </cell>
          <cell r="H140">
            <v>8.4573406736199994E-2</v>
          </cell>
          <cell r="I140">
            <v>40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B141" t="str">
            <v>SH_HMF03</v>
          </cell>
          <cell r="C141" t="str">
            <v>L23</v>
          </cell>
          <cell r="D141" t="str">
            <v>Bundeslandprofil</v>
          </cell>
          <cell r="E141">
            <v>2.3767683503999999</v>
          </cell>
          <cell r="F141">
            <v>-34.719233251299997</v>
          </cell>
          <cell r="G141">
            <v>5.8332161640000004</v>
          </cell>
          <cell r="H141">
            <v>0.1356714437489</v>
          </cell>
          <cell r="I141">
            <v>40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 t="str">
            <v>SH_HMF04</v>
          </cell>
          <cell r="C142" t="str">
            <v>L24</v>
          </cell>
          <cell r="D142" t="str">
            <v>Bundeslandprofil</v>
          </cell>
          <cell r="E142">
            <v>2.5078170188</v>
          </cell>
          <cell r="F142">
            <v>-35.036736334399997</v>
          </cell>
          <cell r="G142">
            <v>6.2430159032999999</v>
          </cell>
          <cell r="H142">
            <v>0.11417810019159999</v>
          </cell>
          <cell r="I142">
            <v>40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 t="str">
            <v>SL_HEF03</v>
          </cell>
          <cell r="C143" t="str">
            <v>A13</v>
          </cell>
          <cell r="D143" t="str">
            <v>Bundeslandprofil</v>
          </cell>
          <cell r="E143">
            <v>3.0722214501999998</v>
          </cell>
          <cell r="F143">
            <v>-37.184284425999998</v>
          </cell>
          <cell r="G143">
            <v>5.6975233565999996</v>
          </cell>
          <cell r="H143">
            <v>9.3521456487599991E-2</v>
          </cell>
          <cell r="I143">
            <v>40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 t="str">
            <v>SL_HEF04</v>
          </cell>
          <cell r="C144" t="str">
            <v>A14</v>
          </cell>
          <cell r="D144" t="str">
            <v>Bundeslandprofil</v>
          </cell>
          <cell r="E144">
            <v>3.2107659244</v>
          </cell>
          <cell r="F144">
            <v>-37.417880080300002</v>
          </cell>
          <cell r="G144">
            <v>6.2023999708000002</v>
          </cell>
          <cell r="H144">
            <v>7.3024308132400004E-2</v>
          </cell>
          <cell r="I144">
            <v>40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</row>
        <row r="145">
          <cell r="B145" t="str">
            <v>SL_HMF03</v>
          </cell>
          <cell r="C145" t="str">
            <v>A23</v>
          </cell>
          <cell r="D145" t="str">
            <v>Bundeslandprofil</v>
          </cell>
          <cell r="E145">
            <v>2.4207683707999998</v>
          </cell>
          <cell r="F145">
            <v>-34.727791725099998</v>
          </cell>
          <cell r="G145">
            <v>5.7668252224999996</v>
          </cell>
          <cell r="H145">
            <v>0.11194122096960001</v>
          </cell>
          <cell r="I145">
            <v>40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B146" t="str">
            <v>SL_HMF04</v>
          </cell>
          <cell r="C146" t="str">
            <v>A24</v>
          </cell>
          <cell r="D146" t="str">
            <v>Bundeslandprofil</v>
          </cell>
          <cell r="E146">
            <v>2.5516882275000001</v>
          </cell>
          <cell r="F146">
            <v>-35.023421941899997</v>
          </cell>
          <cell r="G146">
            <v>6.1680699420999998</v>
          </cell>
          <cell r="H146">
            <v>9.1749587616799994E-2</v>
          </cell>
          <cell r="I146">
            <v>40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B147" t="str">
            <v>SN_HEF03</v>
          </cell>
          <cell r="C147" t="str">
            <v>S13</v>
          </cell>
          <cell r="D147" t="str">
            <v>Bundeslandprofil</v>
          </cell>
          <cell r="E147">
            <v>3.0385546748999999</v>
          </cell>
          <cell r="F147">
            <v>-37.182990840800002</v>
          </cell>
          <cell r="G147">
            <v>5.6644868649999998</v>
          </cell>
          <cell r="H147">
            <v>0.1124800952912</v>
          </cell>
          <cell r="I147">
            <v>40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B148" t="str">
            <v>SN_HEF04</v>
          </cell>
          <cell r="C148" t="str">
            <v>S14</v>
          </cell>
          <cell r="D148" t="str">
            <v>Bundeslandprofil</v>
          </cell>
          <cell r="E148">
            <v>3.1764404493999998</v>
          </cell>
          <cell r="F148">
            <v>-37.410583151700003</v>
          </cell>
          <cell r="G148">
            <v>6.1622335977000002</v>
          </cell>
          <cell r="H148">
            <v>8.9360580702399994E-2</v>
          </cell>
          <cell r="I148">
            <v>40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B149" t="str">
            <v>SN_HMF03</v>
          </cell>
          <cell r="C149" t="str">
            <v>S23</v>
          </cell>
          <cell r="D149" t="str">
            <v>Bundeslandprofil</v>
          </cell>
          <cell r="E149">
            <v>2.3767683503999999</v>
          </cell>
          <cell r="F149">
            <v>-34.719233251299997</v>
          </cell>
          <cell r="G149">
            <v>5.8332161640000004</v>
          </cell>
          <cell r="H149">
            <v>0.14335095943279999</v>
          </cell>
          <cell r="I149">
            <v>40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B150" t="str">
            <v>SN_HMF04</v>
          </cell>
          <cell r="C150" t="str">
            <v>S24</v>
          </cell>
          <cell r="D150" t="str">
            <v>Bundeslandprofil</v>
          </cell>
          <cell r="E150">
            <v>2.5078170188</v>
          </cell>
          <cell r="F150">
            <v>-35.036736334399997</v>
          </cell>
          <cell r="G150">
            <v>6.2430159032999999</v>
          </cell>
          <cell r="H150">
            <v>0.12064101152319999</v>
          </cell>
          <cell r="I150">
            <v>40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 t="str">
            <v>ST_HEF03</v>
          </cell>
          <cell r="C151" t="str">
            <v>C13</v>
          </cell>
          <cell r="D151" t="str">
            <v>Bundeslandprofil</v>
          </cell>
          <cell r="E151">
            <v>3.0217398597999998</v>
          </cell>
          <cell r="F151">
            <v>-37.182359950799999</v>
          </cell>
          <cell r="G151">
            <v>5.6477169550999999</v>
          </cell>
          <cell r="H151">
            <v>0.11828417805119999</v>
          </cell>
          <cell r="I151">
            <v>40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 t="str">
            <v>ST_HEF04</v>
          </cell>
          <cell r="C152" t="str">
            <v>C14</v>
          </cell>
          <cell r="D152" t="str">
            <v>Bundeslandprofil</v>
          </cell>
          <cell r="E152">
            <v>3.1592940409999999</v>
          </cell>
          <cell r="F152">
            <v>-37.4068859976</v>
          </cell>
          <cell r="G152">
            <v>6.1418925604999997</v>
          </cell>
          <cell r="H152">
            <v>9.4704432791499996E-2</v>
          </cell>
          <cell r="I152">
            <v>40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ST_HMF03</v>
          </cell>
          <cell r="C153" t="str">
            <v>C23</v>
          </cell>
          <cell r="D153" t="str">
            <v>Bundeslandprofil</v>
          </cell>
          <cell r="E153">
            <v>2.3548082787000002</v>
          </cell>
          <cell r="F153">
            <v>-34.715029850400001</v>
          </cell>
          <cell r="G153">
            <v>5.8675639272</v>
          </cell>
          <cell r="H153">
            <v>0.15491599500529998</v>
          </cell>
          <cell r="I153">
            <v>40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 t="str">
            <v>ST_HMF04</v>
          </cell>
          <cell r="C154" t="str">
            <v>C24</v>
          </cell>
          <cell r="D154" t="str">
            <v>Bundeslandprofil</v>
          </cell>
          <cell r="E154">
            <v>2.4859160575999999</v>
          </cell>
          <cell r="F154">
            <v>-35.043597772699997</v>
          </cell>
          <cell r="G154">
            <v>6.2818214214000001</v>
          </cell>
          <cell r="H154">
            <v>0.13178340330489999</v>
          </cell>
          <cell r="I154">
            <v>40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</row>
        <row r="155">
          <cell r="B155" t="str">
            <v>TH_HEF03</v>
          </cell>
          <cell r="C155" t="str">
            <v>T13</v>
          </cell>
          <cell r="D155" t="str">
            <v>Bundeslandprofil</v>
          </cell>
          <cell r="E155">
            <v>3.0217398597999998</v>
          </cell>
          <cell r="F155">
            <v>-37.182359950799999</v>
          </cell>
          <cell r="G155">
            <v>5.6477169550999999</v>
          </cell>
          <cell r="H155">
            <v>0.11706600937919999</v>
          </cell>
          <cell r="I155">
            <v>40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 t="str">
            <v>TH_HEF04</v>
          </cell>
          <cell r="C156" t="str">
            <v>T14</v>
          </cell>
          <cell r="D156" t="str">
            <v>Bundeslandprofil</v>
          </cell>
          <cell r="E156">
            <v>3.1592940409999999</v>
          </cell>
          <cell r="F156">
            <v>-37.4068859976</v>
          </cell>
          <cell r="G156">
            <v>6.1418925604999997</v>
          </cell>
          <cell r="H156">
            <v>9.3729103926499996E-2</v>
          </cell>
          <cell r="I156">
            <v>40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 t="str">
            <v>TH_HMF03</v>
          </cell>
          <cell r="C157" t="str">
            <v>T23</v>
          </cell>
          <cell r="D157" t="str">
            <v>Bundeslandprofil</v>
          </cell>
          <cell r="E157">
            <v>2.3548082787000002</v>
          </cell>
          <cell r="F157">
            <v>-34.715029850400001</v>
          </cell>
          <cell r="G157">
            <v>5.8675639272</v>
          </cell>
          <cell r="H157">
            <v>0.15332056766229998</v>
          </cell>
          <cell r="I157">
            <v>40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 t="str">
            <v>TH_HMF04</v>
          </cell>
          <cell r="C158" t="str">
            <v>T24</v>
          </cell>
          <cell r="D158" t="str">
            <v>Bundeslandprofil</v>
          </cell>
          <cell r="E158">
            <v>2.4859160575999999</v>
          </cell>
          <cell r="F158">
            <v>-35.043597772699997</v>
          </cell>
          <cell r="G158">
            <v>6.2818214214000001</v>
          </cell>
          <cell r="H158">
            <v>0.13042621068589999</v>
          </cell>
          <cell r="I158">
            <v>40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</sheetData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4.4" zeroHeight="1"/>
  <cols>
    <col min="1" max="1" width="2.88671875" customWidth="1"/>
    <col min="2" max="15" width="11.44140625" customWidth="1"/>
    <col min="16" max="16384" width="11.44140625" hidden="1"/>
  </cols>
  <sheetData>
    <row r="1" spans="2:7" ht="75.75" customHeight="1"/>
    <row r="2" spans="2:7" ht="23.4">
      <c r="B2" s="9" t="s">
        <v>452</v>
      </c>
    </row>
    <row r="3" spans="2:7"/>
    <row r="4" spans="2:7">
      <c r="B4" s="8" t="s">
        <v>447</v>
      </c>
    </row>
    <row r="5" spans="2:7">
      <c r="B5" s="8" t="s">
        <v>448</v>
      </c>
    </row>
    <row r="6" spans="2:7"/>
    <row r="7" spans="2:7">
      <c r="B7" t="s">
        <v>344</v>
      </c>
    </row>
    <row r="8" spans="2:7" s="8" customFormat="1">
      <c r="B8" s="8" t="s">
        <v>449</v>
      </c>
    </row>
    <row r="9" spans="2:7" s="8" customFormat="1"/>
    <row r="10" spans="2:7" s="8" customFormat="1">
      <c r="B10" s="14" t="s">
        <v>434</v>
      </c>
    </row>
    <row r="11" spans="2:7" s="8" customFormat="1">
      <c r="B11" s="8" t="s">
        <v>487</v>
      </c>
    </row>
    <row r="12" spans="2:7" s="8" customFormat="1">
      <c r="B12" s="8" t="s">
        <v>488</v>
      </c>
    </row>
    <row r="13" spans="2:7" s="8" customFormat="1">
      <c r="B13" s="8" t="s">
        <v>496</v>
      </c>
    </row>
    <row r="14" spans="2:7" s="8" customFormat="1"/>
    <row r="15" spans="2:7">
      <c r="B15" s="20" t="s">
        <v>451</v>
      </c>
      <c r="C15" s="15"/>
    </row>
    <row r="16" spans="2:7">
      <c r="B16" s="15"/>
      <c r="C16" s="15"/>
      <c r="G16" s="10"/>
    </row>
    <row r="17" spans="2:12">
      <c r="B17" s="17" t="s">
        <v>351</v>
      </c>
      <c r="C17" s="15"/>
    </row>
    <row r="18" spans="2:12" s="8" customFormat="1">
      <c r="B18" s="18" t="s">
        <v>345</v>
      </c>
      <c r="C18" s="15"/>
    </row>
    <row r="19" spans="2:12" s="8" customFormat="1">
      <c r="B19" s="18" t="s">
        <v>346</v>
      </c>
      <c r="C19" s="15"/>
    </row>
    <row r="20" spans="2:12">
      <c r="B20" s="17"/>
      <c r="C20" s="15"/>
    </row>
    <row r="21" spans="2:12">
      <c r="B21" s="3" t="s">
        <v>450</v>
      </c>
      <c r="C21" s="15"/>
    </row>
    <row r="22" spans="2:12" s="8" customFormat="1">
      <c r="B22" s="18" t="s">
        <v>347</v>
      </c>
      <c r="C22" s="15"/>
    </row>
    <row r="23" spans="2:12" s="8" customFormat="1">
      <c r="B23" s="18" t="s">
        <v>348</v>
      </c>
      <c r="C23" s="15"/>
    </row>
    <row r="24" spans="2:12">
      <c r="B24" s="17"/>
      <c r="C24" s="15"/>
    </row>
    <row r="25" spans="2:12">
      <c r="B25" s="17" t="s">
        <v>352</v>
      </c>
      <c r="C25" s="15"/>
    </row>
    <row r="26" spans="2:12">
      <c r="B26" s="18" t="s">
        <v>349</v>
      </c>
      <c r="C26" s="15"/>
      <c r="F26" s="8"/>
      <c r="G26" s="8"/>
      <c r="H26" s="8"/>
    </row>
    <row r="27" spans="2:12">
      <c r="B27" s="18" t="s">
        <v>350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353</v>
      </c>
      <c r="C29" s="19">
        <v>43663</v>
      </c>
      <c r="E29" s="8"/>
      <c r="F29" s="8"/>
      <c r="G29" s="8"/>
      <c r="H29" s="8"/>
    </row>
    <row r="30" spans="2:12">
      <c r="B30" s="21" t="s">
        <v>354</v>
      </c>
      <c r="C30" s="338" t="s">
        <v>631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86EAF-BB04-4A76-B79B-78123D2F0346}">
  <dimension ref="A2:F99"/>
  <sheetViews>
    <sheetView tabSelected="1"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baseColWidth="10" defaultColWidth="0" defaultRowHeight="14.4"/>
  <cols>
    <col min="1" max="1" width="11.44140625" style="352" customWidth="1"/>
    <col min="2" max="3" width="14.109375" style="352" bestFit="1" customWidth="1"/>
    <col min="4" max="4" width="88.109375" style="352" bestFit="1" customWidth="1"/>
    <col min="5" max="5" width="82.88671875" style="352" bestFit="1" customWidth="1"/>
    <col min="6" max="6" width="11.44140625" style="352" customWidth="1"/>
    <col min="7" max="16384" width="11.44140625" style="352" hidden="1"/>
  </cols>
  <sheetData>
    <row r="2" spans="2:5">
      <c r="B2" s="371" t="s">
        <v>654</v>
      </c>
      <c r="C2" s="372" t="s">
        <v>655</v>
      </c>
      <c r="D2" s="373" t="s">
        <v>656</v>
      </c>
      <c r="E2" s="373" t="s">
        <v>657</v>
      </c>
    </row>
    <row r="3" spans="2:5">
      <c r="B3" s="374">
        <v>42644</v>
      </c>
      <c r="C3" s="375">
        <v>42674</v>
      </c>
      <c r="D3" s="376">
        <v>11.039400000000001</v>
      </c>
      <c r="E3" s="376">
        <v>8.5405999999999995</v>
      </c>
    </row>
    <row r="4" spans="2:5">
      <c r="B4" s="374">
        <v>42675</v>
      </c>
      <c r="C4" s="375">
        <v>42704</v>
      </c>
      <c r="D4" s="376">
        <v>6.8274999999999997</v>
      </c>
      <c r="E4" s="376">
        <v>4.2347999999999999</v>
      </c>
    </row>
    <row r="5" spans="2:5">
      <c r="B5" s="374">
        <v>42705</v>
      </c>
      <c r="C5" s="375">
        <v>42735</v>
      </c>
      <c r="D5" s="376">
        <v>3.3359999999999999</v>
      </c>
      <c r="E5" s="376">
        <v>1E-4</v>
      </c>
    </row>
    <row r="6" spans="2:5">
      <c r="B6" s="374">
        <v>42736</v>
      </c>
      <c r="C6" s="375">
        <v>42766</v>
      </c>
      <c r="D6" s="376">
        <v>2.0996000000000001</v>
      </c>
      <c r="E6" s="376">
        <v>-0.75160000000000005</v>
      </c>
    </row>
    <row r="7" spans="2:5">
      <c r="B7" s="374">
        <v>42767</v>
      </c>
      <c r="C7" s="375">
        <v>42794</v>
      </c>
      <c r="D7" s="376">
        <v>2.1444999999999999</v>
      </c>
      <c r="E7" s="376">
        <v>-1.0484</v>
      </c>
    </row>
    <row r="8" spans="2:5">
      <c r="B8" s="374">
        <v>42795</v>
      </c>
      <c r="C8" s="375">
        <v>42825</v>
      </c>
      <c r="D8" s="376">
        <v>7.0197000000000003</v>
      </c>
      <c r="E8" s="376">
        <v>4.0868000000000002</v>
      </c>
    </row>
    <row r="9" spans="2:5">
      <c r="B9" s="374">
        <v>42826</v>
      </c>
      <c r="C9" s="375">
        <v>42855</v>
      </c>
      <c r="D9" s="376">
        <v>11.848000000000001</v>
      </c>
      <c r="E9" s="376">
        <v>8.7658000000000005</v>
      </c>
    </row>
    <row r="10" spans="2:5">
      <c r="B10" s="374">
        <v>42856</v>
      </c>
      <c r="C10" s="375">
        <v>42886</v>
      </c>
      <c r="D10" s="376">
        <v>15.005100000000001</v>
      </c>
      <c r="E10" s="376">
        <v>12.0695</v>
      </c>
    </row>
    <row r="11" spans="2:5">
      <c r="B11" s="374">
        <v>42887</v>
      </c>
      <c r="C11" s="375">
        <v>42916</v>
      </c>
      <c r="D11" s="376">
        <v>18.587499999999999</v>
      </c>
      <c r="E11" s="376">
        <v>15.82</v>
      </c>
    </row>
    <row r="12" spans="2:5">
      <c r="B12" s="374">
        <v>42917</v>
      </c>
      <c r="C12" s="375">
        <v>42947</v>
      </c>
      <c r="D12" s="376">
        <v>20.449200000000001</v>
      </c>
      <c r="E12" s="376">
        <v>17.7089</v>
      </c>
    </row>
    <row r="13" spans="2:5">
      <c r="B13" s="374">
        <v>42948</v>
      </c>
      <c r="C13" s="375">
        <v>42978</v>
      </c>
      <c r="D13" s="376">
        <v>19.7484</v>
      </c>
      <c r="E13" s="376">
        <v>17.1633</v>
      </c>
    </row>
    <row r="14" spans="2:5">
      <c r="B14" s="374">
        <v>42979</v>
      </c>
      <c r="C14" s="375">
        <v>43008</v>
      </c>
      <c r="D14" s="376">
        <v>15.6404</v>
      </c>
      <c r="E14" s="376">
        <v>13.0412</v>
      </c>
    </row>
    <row r="15" spans="2:5">
      <c r="B15" s="377">
        <v>43009</v>
      </c>
      <c r="C15" s="378">
        <v>43039</v>
      </c>
      <c r="D15" s="379">
        <v>10.883699999999999</v>
      </c>
      <c r="E15" s="379">
        <v>8.4580000000000002</v>
      </c>
    </row>
    <row r="16" spans="2:5">
      <c r="B16" s="374">
        <v>43040</v>
      </c>
      <c r="C16" s="380">
        <v>43069</v>
      </c>
      <c r="D16" s="381">
        <v>7.1264285714285709</v>
      </c>
      <c r="E16" s="381">
        <v>4.4512857142857127</v>
      </c>
    </row>
    <row r="17" spans="2:5">
      <c r="B17" s="374">
        <v>43070</v>
      </c>
      <c r="C17" s="380">
        <v>43100</v>
      </c>
      <c r="D17" s="382">
        <v>3.9651152073732709</v>
      </c>
      <c r="E17" s="382">
        <v>0.37829493087557625</v>
      </c>
    </row>
    <row r="18" spans="2:5">
      <c r="B18" s="374">
        <v>43101</v>
      </c>
      <c r="C18" s="380">
        <v>43131</v>
      </c>
      <c r="D18" s="382">
        <v>2.3448387096774179</v>
      </c>
      <c r="E18" s="382">
        <v>-0.61177419354838691</v>
      </c>
    </row>
    <row r="19" spans="2:5">
      <c r="B19" s="374">
        <v>43132</v>
      </c>
      <c r="C19" s="380">
        <v>43159</v>
      </c>
      <c r="D19" s="382">
        <v>2.5653097345132743</v>
      </c>
      <c r="E19" s="382">
        <v>-0.5765044247787604</v>
      </c>
    </row>
    <row r="20" spans="2:5">
      <c r="B20" s="374">
        <v>43160</v>
      </c>
      <c r="C20" s="380">
        <v>43190</v>
      </c>
      <c r="D20" s="382">
        <v>6.867338709677421</v>
      </c>
      <c r="E20" s="382">
        <v>3.9787096774193573</v>
      </c>
    </row>
    <row r="21" spans="2:5">
      <c r="B21" s="374">
        <v>43191</v>
      </c>
      <c r="C21" s="380">
        <v>43220</v>
      </c>
      <c r="D21" s="382">
        <v>11.572666666666663</v>
      </c>
      <c r="E21" s="382">
        <v>8.6264166666666693</v>
      </c>
    </row>
    <row r="22" spans="2:5">
      <c r="B22" s="374">
        <v>43221</v>
      </c>
      <c r="C22" s="380">
        <v>43251</v>
      </c>
      <c r="D22" s="382">
        <v>14.918387096774204</v>
      </c>
      <c r="E22" s="382">
        <v>12.048991935483867</v>
      </c>
    </row>
    <row r="23" spans="2:5">
      <c r="B23" s="374">
        <v>43252</v>
      </c>
      <c r="C23" s="380">
        <v>43281</v>
      </c>
      <c r="D23" s="382">
        <v>18.541000000000007</v>
      </c>
      <c r="E23" s="382">
        <v>15.808875</v>
      </c>
    </row>
    <row r="24" spans="2:5">
      <c r="B24" s="374">
        <v>43282</v>
      </c>
      <c r="C24" s="380">
        <v>43312</v>
      </c>
      <c r="D24" s="382">
        <v>20.497338709677436</v>
      </c>
      <c r="E24" s="382">
        <v>17.756129032258062</v>
      </c>
    </row>
    <row r="25" spans="2:5">
      <c r="B25" s="374">
        <v>43313</v>
      </c>
      <c r="C25" s="380">
        <v>43343</v>
      </c>
      <c r="D25" s="382">
        <v>19.810403225806446</v>
      </c>
      <c r="E25" s="382">
        <v>17.191008064516129</v>
      </c>
    </row>
    <row r="26" spans="2:5">
      <c r="B26" s="374">
        <v>43344</v>
      </c>
      <c r="C26" s="380">
        <v>43373</v>
      </c>
      <c r="D26" s="382">
        <v>15.947958333333327</v>
      </c>
      <c r="E26" s="382">
        <v>13.269541666666667</v>
      </c>
    </row>
    <row r="27" spans="2:5">
      <c r="B27" s="377">
        <v>43374</v>
      </c>
      <c r="C27" s="383">
        <v>43404</v>
      </c>
      <c r="D27" s="384">
        <v>10.713629032258062</v>
      </c>
      <c r="E27" s="384">
        <v>8.3093548387096803</v>
      </c>
    </row>
    <row r="28" spans="2:5">
      <c r="B28" s="374">
        <v>43405</v>
      </c>
      <c r="C28" s="380">
        <v>43434</v>
      </c>
      <c r="D28" s="381">
        <v>6.9422500000000014</v>
      </c>
      <c r="E28" s="381">
        <v>4.2411666666666656</v>
      </c>
    </row>
    <row r="29" spans="2:5">
      <c r="B29" s="374">
        <v>43435</v>
      </c>
      <c r="C29" s="380">
        <v>43465</v>
      </c>
      <c r="D29" s="382">
        <v>3.578427419354838</v>
      </c>
      <c r="E29" s="382">
        <v>0.22427419354838726</v>
      </c>
    </row>
    <row r="30" spans="2:5">
      <c r="B30" s="374">
        <v>43466</v>
      </c>
      <c r="C30" s="380">
        <v>43496</v>
      </c>
      <c r="D30" s="382">
        <v>1.8428315412186367</v>
      </c>
      <c r="E30" s="382">
        <v>-1.0526523297491037</v>
      </c>
    </row>
    <row r="31" spans="2:5">
      <c r="B31" s="374">
        <v>43497</v>
      </c>
      <c r="C31" s="380">
        <v>43524</v>
      </c>
      <c r="D31" s="382">
        <v>2.8741338582677174</v>
      </c>
      <c r="E31" s="382">
        <v>-0.25070866141732234</v>
      </c>
    </row>
    <row r="32" spans="2:5">
      <c r="B32" s="374">
        <v>43525</v>
      </c>
      <c r="C32" s="380">
        <v>43555</v>
      </c>
      <c r="D32" s="382">
        <v>7.1718637992831553</v>
      </c>
      <c r="E32" s="382">
        <v>4.2904659498207911</v>
      </c>
    </row>
    <row r="33" spans="2:5">
      <c r="B33" s="374">
        <v>43556</v>
      </c>
      <c r="C33" s="380">
        <v>43585</v>
      </c>
      <c r="D33" s="382">
        <v>11.411518518518514</v>
      </c>
      <c r="E33" s="382">
        <v>8.4364814814814792</v>
      </c>
    </row>
    <row r="34" spans="2:5">
      <c r="B34" s="374">
        <v>43586</v>
      </c>
      <c r="C34" s="380">
        <v>43616</v>
      </c>
      <c r="D34" s="382">
        <v>15.097025089605744</v>
      </c>
      <c r="E34" s="382">
        <v>12.162222222222221</v>
      </c>
    </row>
    <row r="35" spans="2:5">
      <c r="B35" s="374">
        <v>43617</v>
      </c>
      <c r="C35" s="380">
        <v>43646</v>
      </c>
      <c r="D35" s="382">
        <v>18.767074074074085</v>
      </c>
      <c r="E35" s="382">
        <v>16.057259259259258</v>
      </c>
    </row>
    <row r="36" spans="2:5">
      <c r="B36" s="374">
        <v>43647</v>
      </c>
      <c r="C36" s="380">
        <v>43677</v>
      </c>
      <c r="D36" s="382">
        <v>20.535483870967752</v>
      </c>
      <c r="E36" s="382">
        <v>17.769677419354831</v>
      </c>
    </row>
    <row r="37" spans="2:5">
      <c r="B37" s="374">
        <v>43678</v>
      </c>
      <c r="C37" s="380">
        <v>43708</v>
      </c>
      <c r="D37" s="382">
        <v>19.871899641577055</v>
      </c>
      <c r="E37" s="382">
        <v>17.258064516129025</v>
      </c>
    </row>
    <row r="38" spans="2:5">
      <c r="B38" s="374">
        <v>43709</v>
      </c>
      <c r="C38" s="380">
        <v>43738</v>
      </c>
      <c r="D38" s="382">
        <v>15.762444444444437</v>
      </c>
      <c r="E38" s="382">
        <v>13.037444444444439</v>
      </c>
    </row>
    <row r="39" spans="2:5">
      <c r="B39" s="377">
        <v>43739</v>
      </c>
      <c r="C39" s="383">
        <v>43769</v>
      </c>
      <c r="D39" s="384">
        <v>10.873154121863797</v>
      </c>
      <c r="E39" s="384">
        <v>8.3894265232974945</v>
      </c>
    </row>
    <row r="40" spans="2:5">
      <c r="B40" s="374">
        <v>43770</v>
      </c>
      <c r="C40" s="380">
        <v>43799</v>
      </c>
      <c r="D40" s="381">
        <v>6.8422222222222242</v>
      </c>
      <c r="E40" s="381">
        <v>4.0933703703703719</v>
      </c>
    </row>
    <row r="41" spans="2:5">
      <c r="B41" s="374">
        <v>43800</v>
      </c>
      <c r="C41" s="380">
        <v>43830</v>
      </c>
      <c r="D41" s="382">
        <v>3.6052688172043004</v>
      </c>
      <c r="E41" s="382">
        <v>0.19899641577060945</v>
      </c>
    </row>
    <row r="42" spans="2:5">
      <c r="B42" s="374">
        <v>43831</v>
      </c>
      <c r="C42" s="380">
        <v>43861</v>
      </c>
      <c r="D42" s="382">
        <v>2.2947419354838696</v>
      </c>
      <c r="E42" s="382">
        <v>-0.61738709677419379</v>
      </c>
    </row>
    <row r="43" spans="2:5">
      <c r="B43" s="374">
        <v>43862</v>
      </c>
      <c r="C43" s="380">
        <v>43889</v>
      </c>
      <c r="D43" s="382">
        <v>2.6274468085106384</v>
      </c>
      <c r="E43" s="382">
        <v>-0.51939716312056694</v>
      </c>
    </row>
    <row r="44" spans="2:5">
      <c r="B44" s="374">
        <v>43891</v>
      </c>
      <c r="C44" s="380">
        <v>43921</v>
      </c>
      <c r="D44" s="382">
        <v>6.9884516129032308</v>
      </c>
      <c r="E44" s="382">
        <v>4.1068387096774224</v>
      </c>
    </row>
    <row r="45" spans="2:5">
      <c r="B45" s="374">
        <v>43922</v>
      </c>
      <c r="C45" s="380">
        <v>43951</v>
      </c>
      <c r="D45" s="382">
        <v>11.700333333333328</v>
      </c>
      <c r="E45" s="382">
        <v>8.7495333333333321</v>
      </c>
    </row>
    <row r="46" spans="2:5">
      <c r="B46" s="374">
        <v>43952</v>
      </c>
      <c r="C46" s="380">
        <v>43982</v>
      </c>
      <c r="D46" s="382">
        <v>15.247516129032268</v>
      </c>
      <c r="E46" s="382">
        <v>12.385064516129031</v>
      </c>
    </row>
    <row r="47" spans="2:5">
      <c r="B47" s="374">
        <v>43983</v>
      </c>
      <c r="C47" s="380">
        <v>44012</v>
      </c>
      <c r="D47" s="382">
        <v>18.84630000000001</v>
      </c>
      <c r="E47" s="382">
        <v>16.146833333333333</v>
      </c>
    </row>
    <row r="48" spans="2:5">
      <c r="B48" s="374">
        <v>44013</v>
      </c>
      <c r="C48" s="380">
        <v>44043</v>
      </c>
      <c r="D48" s="382">
        <v>20.705129032258075</v>
      </c>
      <c r="E48" s="382">
        <v>17.898903225806443</v>
      </c>
    </row>
    <row r="49" spans="2:5">
      <c r="B49" s="374">
        <v>44044</v>
      </c>
      <c r="C49" s="380">
        <v>44074</v>
      </c>
      <c r="D49" s="382">
        <v>20.070000000000004</v>
      </c>
      <c r="E49" s="382">
        <v>17.42506451612903</v>
      </c>
    </row>
    <row r="50" spans="2:5">
      <c r="B50" s="374">
        <v>44075</v>
      </c>
      <c r="C50" s="380">
        <v>44104</v>
      </c>
      <c r="D50" s="382">
        <v>15.884199999999995</v>
      </c>
      <c r="E50" s="382">
        <v>13.159933333333326</v>
      </c>
    </row>
    <row r="51" spans="2:5">
      <c r="B51" s="377">
        <v>44105</v>
      </c>
      <c r="C51" s="383">
        <v>44135</v>
      </c>
      <c r="D51" s="384">
        <v>10.925967741935478</v>
      </c>
      <c r="E51" s="384">
        <v>8.4550000000000054</v>
      </c>
    </row>
    <row r="52" spans="2:5">
      <c r="B52" s="374">
        <v>44136</v>
      </c>
      <c r="C52" s="380">
        <v>44165</v>
      </c>
      <c r="D52" s="381">
        <v>6.7440666666666695</v>
      </c>
      <c r="E52" s="381">
        <v>4.1132333333333344</v>
      </c>
    </row>
    <row r="53" spans="2:5">
      <c r="B53" s="374">
        <v>44166</v>
      </c>
      <c r="C53" s="380">
        <v>44196</v>
      </c>
      <c r="D53" s="382">
        <v>3.729096774193549</v>
      </c>
      <c r="E53" s="382">
        <v>0.37209677419354853</v>
      </c>
    </row>
    <row r="54" spans="2:5">
      <c r="B54" s="374">
        <v>44197</v>
      </c>
      <c r="C54" s="380">
        <v>44227</v>
      </c>
      <c r="D54" s="382">
        <v>2.238797653958942</v>
      </c>
      <c r="E54" s="382">
        <v>-0.67011730205278619</v>
      </c>
    </row>
    <row r="55" spans="2:5">
      <c r="B55" s="374">
        <v>44228</v>
      </c>
      <c r="C55" s="380">
        <v>44255</v>
      </c>
      <c r="D55" s="382">
        <v>2.8964838709677423</v>
      </c>
      <c r="E55" s="382">
        <v>-0.27609677419354778</v>
      </c>
    </row>
    <row r="56" spans="2:5">
      <c r="B56" s="374">
        <v>44256</v>
      </c>
      <c r="C56" s="380">
        <v>44286</v>
      </c>
      <c r="D56" s="382">
        <v>7.1415542521994171</v>
      </c>
      <c r="E56" s="382">
        <v>4.1981524926686262</v>
      </c>
    </row>
    <row r="57" spans="2:5">
      <c r="B57" s="374">
        <v>44287</v>
      </c>
      <c r="C57" s="380">
        <v>44316</v>
      </c>
      <c r="D57" s="382">
        <v>11.558090909090904</v>
      </c>
      <c r="E57" s="382">
        <v>8.6954242424242434</v>
      </c>
    </row>
    <row r="58" spans="2:5">
      <c r="B58" s="374">
        <v>44317</v>
      </c>
      <c r="C58" s="380">
        <v>44347</v>
      </c>
      <c r="D58" s="382">
        <v>15.001466275659832</v>
      </c>
      <c r="E58" s="382">
        <v>12.121348973607036</v>
      </c>
    </row>
    <row r="59" spans="2:5">
      <c r="B59" s="374">
        <v>44348</v>
      </c>
      <c r="C59" s="380">
        <v>44377</v>
      </c>
      <c r="D59" s="382">
        <v>19.003121212121219</v>
      </c>
      <c r="E59" s="382">
        <v>16.346939393939397</v>
      </c>
    </row>
    <row r="60" spans="2:5">
      <c r="B60" s="374">
        <v>44378</v>
      </c>
      <c r="C60" s="380">
        <v>44408</v>
      </c>
      <c r="D60" s="382">
        <v>20.778563049853382</v>
      </c>
      <c r="E60" s="382">
        <v>17.998739002932549</v>
      </c>
    </row>
    <row r="61" spans="2:5">
      <c r="B61" s="374">
        <v>44409</v>
      </c>
      <c r="C61" s="380">
        <v>44439</v>
      </c>
      <c r="D61" s="382">
        <v>20.098621700879765</v>
      </c>
      <c r="E61" s="382">
        <v>17.425953079178893</v>
      </c>
    </row>
    <row r="62" spans="2:5">
      <c r="B62" s="374">
        <v>44440</v>
      </c>
      <c r="C62" s="380">
        <v>44469</v>
      </c>
      <c r="D62" s="382">
        <v>15.893181818181805</v>
      </c>
      <c r="E62" s="382">
        <v>13.171818181818169</v>
      </c>
    </row>
    <row r="63" spans="2:5">
      <c r="B63" s="377">
        <v>44470</v>
      </c>
      <c r="C63" s="383">
        <v>44500</v>
      </c>
      <c r="D63" s="384">
        <v>11.095014662756594</v>
      </c>
      <c r="E63" s="384">
        <v>8.5759530791788912</v>
      </c>
    </row>
    <row r="64" spans="2:5">
      <c r="B64" s="374">
        <v>44501</v>
      </c>
      <c r="C64" s="380">
        <v>44530</v>
      </c>
      <c r="D64" s="381">
        <v>6.6775757575757604</v>
      </c>
      <c r="E64" s="381">
        <v>4.0880909090909103</v>
      </c>
    </row>
    <row r="65" spans="2:5">
      <c r="B65" s="374">
        <v>44531</v>
      </c>
      <c r="C65" s="380">
        <v>44561</v>
      </c>
      <c r="D65" s="382">
        <v>3.8098826979472142</v>
      </c>
      <c r="E65" s="382">
        <v>0.48709677419354847</v>
      </c>
    </row>
    <row r="66" spans="2:5">
      <c r="B66" s="374">
        <v>44562</v>
      </c>
      <c r="C66" s="380">
        <v>44592</v>
      </c>
      <c r="D66" s="382">
        <v>2.4336021505376317</v>
      </c>
      <c r="E66" s="382">
        <v>-0.53271505376344108</v>
      </c>
    </row>
    <row r="67" spans="2:5">
      <c r="B67" s="374">
        <v>44593</v>
      </c>
      <c r="C67" s="380">
        <v>44620</v>
      </c>
      <c r="D67" s="382">
        <v>3.2961651917404131</v>
      </c>
      <c r="E67" s="382">
        <v>8.7935103244838275E-2</v>
      </c>
    </row>
    <row r="68" spans="2:5">
      <c r="B68" s="374">
        <v>44621</v>
      </c>
      <c r="C68" s="380">
        <v>44651</v>
      </c>
      <c r="D68" s="382">
        <v>7.1707258064516184</v>
      </c>
      <c r="E68" s="382">
        <v>4.1865053763440896</v>
      </c>
    </row>
    <row r="69" spans="2:5">
      <c r="B69" s="374">
        <v>44652</v>
      </c>
      <c r="C69" s="380">
        <v>44681</v>
      </c>
      <c r="D69" s="382">
        <v>11.747249999999996</v>
      </c>
      <c r="E69" s="382">
        <v>8.8381666666666678</v>
      </c>
    </row>
    <row r="70" spans="2:5">
      <c r="B70" s="374">
        <v>44682</v>
      </c>
      <c r="C70" s="380">
        <v>44712</v>
      </c>
      <c r="D70" s="382">
        <v>14.994220430107532</v>
      </c>
      <c r="E70" s="382">
        <v>12.087392473118275</v>
      </c>
    </row>
    <row r="71" spans="2:5">
      <c r="B71" s="374">
        <v>44713</v>
      </c>
      <c r="C71" s="380">
        <v>44742</v>
      </c>
      <c r="D71" s="382">
        <v>18.923444444444453</v>
      </c>
      <c r="E71" s="382">
        <v>16.232888888888887</v>
      </c>
    </row>
    <row r="72" spans="2:5">
      <c r="B72" s="374">
        <v>44743</v>
      </c>
      <c r="C72" s="380">
        <v>44773</v>
      </c>
      <c r="D72" s="382">
        <v>20.806827956989256</v>
      </c>
      <c r="E72" s="382">
        <v>18.003494623655911</v>
      </c>
    </row>
    <row r="73" spans="2:5">
      <c r="B73" s="374">
        <v>44774</v>
      </c>
      <c r="C73" s="380">
        <v>44804</v>
      </c>
      <c r="D73" s="382">
        <v>20.228413978494626</v>
      </c>
      <c r="E73" s="382">
        <v>17.45322580645162</v>
      </c>
    </row>
    <row r="74" spans="2:5">
      <c r="B74" s="374">
        <v>44805</v>
      </c>
      <c r="C74" s="380">
        <v>44834</v>
      </c>
      <c r="D74" s="382">
        <v>16.008694444444433</v>
      </c>
      <c r="E74" s="382">
        <v>13.252749999999986</v>
      </c>
    </row>
    <row r="75" spans="2:5">
      <c r="B75" s="377">
        <v>44835</v>
      </c>
      <c r="C75" s="383">
        <v>44865</v>
      </c>
      <c r="D75" s="384">
        <v>11.09327956989247</v>
      </c>
      <c r="E75" s="384">
        <v>8.520295698924734</v>
      </c>
    </row>
    <row r="76" spans="2:5">
      <c r="B76" s="374">
        <v>44866</v>
      </c>
      <c r="C76" s="380">
        <v>44895</v>
      </c>
      <c r="D76" s="381">
        <v>6.6749444444444483</v>
      </c>
      <c r="E76" s="381">
        <v>4.109527777777779</v>
      </c>
    </row>
    <row r="77" spans="2:5">
      <c r="B77" s="374">
        <v>44896</v>
      </c>
      <c r="C77" s="380">
        <v>44926</v>
      </c>
      <c r="D77" s="382">
        <v>3.8821774193548388</v>
      </c>
      <c r="E77" s="382">
        <v>0.55188172043010764</v>
      </c>
    </row>
    <row r="78" spans="2:5">
      <c r="B78" s="374">
        <v>44927</v>
      </c>
      <c r="C78" s="380">
        <v>44957</v>
      </c>
      <c r="D78" s="382">
        <v>2.4126550868486327</v>
      </c>
      <c r="E78" s="382">
        <v>-0.58354838709677459</v>
      </c>
    </row>
    <row r="79" spans="2:5">
      <c r="B79" s="374">
        <v>44958</v>
      </c>
      <c r="C79" s="380">
        <v>44985</v>
      </c>
      <c r="D79" s="382">
        <v>3.4449591280653964</v>
      </c>
      <c r="E79" s="382">
        <v>0.25397820163487778</v>
      </c>
    </row>
    <row r="80" spans="2:5">
      <c r="B80" s="374">
        <v>44986</v>
      </c>
      <c r="C80" s="380">
        <v>45016</v>
      </c>
      <c r="D80" s="382">
        <v>7.1374937965260585</v>
      </c>
      <c r="E80" s="382">
        <v>4.154789081885859</v>
      </c>
    </row>
    <row r="81" spans="2:5">
      <c r="B81" s="374">
        <v>45017</v>
      </c>
      <c r="C81" s="380">
        <v>45046</v>
      </c>
      <c r="D81" s="382">
        <v>11.469256410256401</v>
      </c>
      <c r="E81" s="382">
        <v>8.5947179487179497</v>
      </c>
    </row>
    <row r="82" spans="2:5">
      <c r="B82" s="374">
        <v>45047</v>
      </c>
      <c r="C82" s="380">
        <v>45077</v>
      </c>
      <c r="D82" s="382">
        <v>14.76389578163772</v>
      </c>
      <c r="E82" s="382">
        <v>11.856600496277911</v>
      </c>
    </row>
    <row r="83" spans="2:5">
      <c r="B83" s="374">
        <v>45078</v>
      </c>
      <c r="C83" s="380">
        <v>45107</v>
      </c>
      <c r="D83" s="382">
        <v>19.030871794871803</v>
      </c>
      <c r="E83" s="382">
        <v>16.343692307692308</v>
      </c>
    </row>
    <row r="84" spans="2:5">
      <c r="B84" s="374">
        <v>45108</v>
      </c>
      <c r="C84" s="380">
        <v>45138</v>
      </c>
      <c r="D84" s="382">
        <v>20.698362282878417</v>
      </c>
      <c r="E84" s="382">
        <v>17.907196029776678</v>
      </c>
    </row>
    <row r="85" spans="2:5">
      <c r="B85" s="374">
        <v>45139</v>
      </c>
      <c r="C85" s="380">
        <v>45169</v>
      </c>
      <c r="D85" s="382">
        <v>20.074615384615388</v>
      </c>
      <c r="E85" s="382">
        <v>17.296774193548391</v>
      </c>
    </row>
    <row r="86" spans="2:5">
      <c r="B86" s="374">
        <v>45170</v>
      </c>
      <c r="C86" s="380">
        <v>45199</v>
      </c>
      <c r="D86" s="382">
        <v>16.076487179487174</v>
      </c>
      <c r="E86" s="382">
        <v>13.299205128205115</v>
      </c>
    </row>
    <row r="87" spans="2:5">
      <c r="B87" s="377">
        <v>45200</v>
      </c>
      <c r="C87" s="383">
        <v>45230</v>
      </c>
      <c r="D87" s="384">
        <v>10.820595533498761</v>
      </c>
      <c r="E87" s="384">
        <v>8.6758064516129068</v>
      </c>
    </row>
    <row r="88" spans="2:5">
      <c r="B88" s="385">
        <v>45231</v>
      </c>
      <c r="C88" s="386">
        <v>45260</v>
      </c>
      <c r="D88" s="387">
        <v>6.3561025641025681</v>
      </c>
      <c r="E88" s="388">
        <v>4.1400769230769239</v>
      </c>
    </row>
    <row r="89" spans="2:5">
      <c r="B89" s="389">
        <v>45261</v>
      </c>
      <c r="C89" s="390">
        <v>45291</v>
      </c>
      <c r="D89" s="391">
        <v>3.6981885856079408</v>
      </c>
      <c r="E89" s="392">
        <v>0.83945409429280404</v>
      </c>
    </row>
    <row r="90" spans="2:5">
      <c r="B90" s="389">
        <v>45292</v>
      </c>
      <c r="C90" s="390">
        <v>45322</v>
      </c>
      <c r="D90" s="391">
        <v>2.2629032258064496</v>
      </c>
      <c r="E90" s="392">
        <v>-0.37066820276497736</v>
      </c>
    </row>
    <row r="91" spans="2:5">
      <c r="B91" s="389">
        <v>45323</v>
      </c>
      <c r="C91" s="390">
        <v>45350</v>
      </c>
      <c r="D91" s="391">
        <v>3.3881012658227858</v>
      </c>
      <c r="E91" s="392">
        <v>0.68154430379746878</v>
      </c>
    </row>
    <row r="92" spans="2:5">
      <c r="B92" s="389">
        <v>45352</v>
      </c>
      <c r="C92" s="390">
        <v>45382</v>
      </c>
      <c r="D92" s="391">
        <v>6.9693778801843358</v>
      </c>
      <c r="E92" s="392">
        <v>4.4338248847926298</v>
      </c>
    </row>
    <row r="93" spans="2:5">
      <c r="B93" s="389">
        <v>45383</v>
      </c>
      <c r="C93" s="390">
        <v>45412</v>
      </c>
      <c r="D93" s="391">
        <v>11.182880952380946</v>
      </c>
      <c r="E93" s="392">
        <v>8.7412857142857163</v>
      </c>
    </row>
    <row r="94" spans="2:5">
      <c r="B94" s="389">
        <v>45413</v>
      </c>
      <c r="C94" s="390">
        <v>45443</v>
      </c>
      <c r="D94" s="391">
        <v>14.71186635944701</v>
      </c>
      <c r="E94" s="392">
        <v>12.252096774193545</v>
      </c>
    </row>
    <row r="95" spans="2:5">
      <c r="B95" s="389">
        <v>45444</v>
      </c>
      <c r="C95" s="390">
        <v>45473</v>
      </c>
      <c r="D95" s="391">
        <v>18.963666666666676</v>
      </c>
      <c r="E95" s="392">
        <v>16.66628571428571</v>
      </c>
    </row>
    <row r="96" spans="2:5">
      <c r="B96" s="389">
        <v>45474</v>
      </c>
      <c r="C96" s="390">
        <v>45504</v>
      </c>
      <c r="D96" s="391">
        <v>20.603087557603704</v>
      </c>
      <c r="E96" s="392">
        <v>18.234792626728112</v>
      </c>
    </row>
    <row r="97" spans="2:5">
      <c r="B97" s="389">
        <v>45505</v>
      </c>
      <c r="C97" s="390">
        <v>45535</v>
      </c>
      <c r="D97" s="391">
        <v>19.976658986175121</v>
      </c>
      <c r="E97" s="392">
        <v>17.680875576036875</v>
      </c>
    </row>
    <row r="98" spans="2:5">
      <c r="B98" s="389">
        <v>45536</v>
      </c>
      <c r="C98" s="390">
        <v>45565</v>
      </c>
      <c r="D98" s="391">
        <v>15.80840476190475</v>
      </c>
      <c r="E98" s="392">
        <v>13.472119047619039</v>
      </c>
    </row>
    <row r="99" spans="2:5">
      <c r="B99" s="393">
        <v>45566</v>
      </c>
      <c r="C99" s="394">
        <v>45596</v>
      </c>
      <c r="D99" s="395">
        <v>11.122119815668206</v>
      </c>
      <c r="E99" s="396">
        <v>8.9049539170506975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4140625" defaultRowHeight="14.4"/>
  <cols>
    <col min="1" max="1" width="9.6640625" style="257" customWidth="1"/>
    <col min="2" max="2" width="7" style="258" customWidth="1"/>
    <col min="3" max="3" width="27.6640625" style="237" customWidth="1"/>
    <col min="4" max="10" width="8.88671875" style="237" customWidth="1"/>
    <col min="11" max="14" width="11.44140625" style="237" customWidth="1"/>
    <col min="15" max="15" width="12.33203125" style="128" customWidth="1"/>
    <col min="16" max="16" width="16.5546875" style="237" customWidth="1"/>
    <col min="17" max="16384" width="11.44140625" style="237"/>
  </cols>
  <sheetData>
    <row r="1" spans="1:16" s="236" customFormat="1">
      <c r="A1" s="131" t="s">
        <v>442</v>
      </c>
      <c r="B1" s="128"/>
      <c r="D1" s="217" t="s">
        <v>537</v>
      </c>
    </row>
    <row r="2" spans="1:16">
      <c r="A2" s="237"/>
      <c r="B2" s="236" t="s">
        <v>443</v>
      </c>
    </row>
    <row r="3" spans="1:16" ht="20.100000000000001" customHeight="1">
      <c r="A3" s="407" t="s">
        <v>249</v>
      </c>
      <c r="B3" s="238" t="s">
        <v>86</v>
      </c>
      <c r="C3" s="239"/>
      <c r="D3" s="409" t="s">
        <v>444</v>
      </c>
      <c r="E3" s="410"/>
      <c r="F3" s="410"/>
      <c r="G3" s="410"/>
      <c r="H3" s="410"/>
      <c r="I3" s="410"/>
      <c r="J3" s="411"/>
      <c r="K3" s="240"/>
      <c r="L3" s="240"/>
      <c r="M3" s="240"/>
      <c r="N3" s="240"/>
      <c r="O3" s="241"/>
      <c r="P3" s="240"/>
    </row>
    <row r="4" spans="1:16" ht="20.100000000000001" customHeight="1">
      <c r="A4" s="408"/>
      <c r="B4" s="242"/>
      <c r="C4" s="243"/>
      <c r="D4" s="244" t="s">
        <v>87</v>
      </c>
      <c r="E4" s="244" t="s">
        <v>88</v>
      </c>
      <c r="F4" s="244" t="s">
        <v>89</v>
      </c>
      <c r="G4" s="244" t="s">
        <v>90</v>
      </c>
      <c r="H4" s="244" t="s">
        <v>91</v>
      </c>
      <c r="I4" s="244" t="s">
        <v>92</v>
      </c>
      <c r="J4" s="244" t="s">
        <v>93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94</v>
      </c>
      <c r="C5" s="243"/>
      <c r="D5" s="244" t="s">
        <v>95</v>
      </c>
      <c r="E5" s="244" t="s">
        <v>96</v>
      </c>
      <c r="F5" s="244" t="s">
        <v>97</v>
      </c>
      <c r="G5" s="244" t="s">
        <v>98</v>
      </c>
      <c r="H5" s="244" t="s">
        <v>99</v>
      </c>
      <c r="I5" s="244" t="s">
        <v>100</v>
      </c>
      <c r="J5" s="244" t="s">
        <v>101</v>
      </c>
      <c r="K5" s="244" t="s">
        <v>102</v>
      </c>
      <c r="L5" s="245" t="s">
        <v>103</v>
      </c>
      <c r="M5" s="245" t="s">
        <v>104</v>
      </c>
      <c r="N5" s="247" t="s">
        <v>147</v>
      </c>
      <c r="O5" s="247" t="s">
        <v>260</v>
      </c>
      <c r="P5" s="248" t="s">
        <v>259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105</v>
      </c>
      <c r="C7" s="252" t="s">
        <v>106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102</v>
      </c>
      <c r="M7" s="254">
        <f t="shared" ref="M7:M21" si="0">MAX(D7:J7)</f>
        <v>1</v>
      </c>
      <c r="N7" s="255" t="s">
        <v>374</v>
      </c>
      <c r="O7" s="250"/>
      <c r="P7" s="244"/>
    </row>
    <row r="8" spans="1:16" ht="21" customHeight="1">
      <c r="A8" s="251">
        <v>2</v>
      </c>
      <c r="B8" s="244" t="s">
        <v>107</v>
      </c>
      <c r="C8" s="252" t="s">
        <v>108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102</v>
      </c>
      <c r="M8" s="254">
        <f t="shared" si="0"/>
        <v>1</v>
      </c>
      <c r="N8" s="255" t="s">
        <v>374</v>
      </c>
      <c r="O8" s="250"/>
      <c r="P8" s="244"/>
    </row>
    <row r="9" spans="1:16" ht="21" customHeight="1">
      <c r="A9" s="251">
        <v>3</v>
      </c>
      <c r="B9" s="244" t="s">
        <v>247</v>
      </c>
      <c r="C9" s="256" t="s">
        <v>5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102</v>
      </c>
      <c r="M9" s="254">
        <f t="shared" ref="M9" si="1">MAX(D9:J9)</f>
        <v>1</v>
      </c>
      <c r="N9" s="255" t="s">
        <v>5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9.6">
      <c r="A11" s="251">
        <v>4</v>
      </c>
      <c r="B11" s="244" t="s">
        <v>109</v>
      </c>
      <c r="C11" s="260" t="s">
        <v>110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96</v>
      </c>
      <c r="M11" s="254">
        <f t="shared" si="0"/>
        <v>1.0522626697461936</v>
      </c>
      <c r="N11" s="255" t="s">
        <v>263</v>
      </c>
      <c r="O11" s="250" t="s">
        <v>261</v>
      </c>
      <c r="P11" s="244"/>
    </row>
    <row r="12" spans="1:16">
      <c r="A12" s="251">
        <v>5</v>
      </c>
      <c r="B12" s="244" t="s">
        <v>111</v>
      </c>
      <c r="C12" s="260" t="s">
        <v>112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95</v>
      </c>
      <c r="M12" s="254">
        <f t="shared" si="0"/>
        <v>1.0358469949391176</v>
      </c>
      <c r="N12" s="255" t="s">
        <v>263</v>
      </c>
      <c r="O12" s="250" t="s">
        <v>261</v>
      </c>
      <c r="P12" s="244"/>
    </row>
    <row r="13" spans="1:16">
      <c r="A13" s="251">
        <v>6</v>
      </c>
      <c r="B13" s="244" t="s">
        <v>113</v>
      </c>
      <c r="C13" s="260" t="s">
        <v>114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95</v>
      </c>
      <c r="M13" s="254">
        <f t="shared" si="0"/>
        <v>1.069856584592316</v>
      </c>
      <c r="N13" s="255" t="s">
        <v>263</v>
      </c>
      <c r="O13" s="250" t="s">
        <v>261</v>
      </c>
      <c r="P13" s="244"/>
    </row>
    <row r="14" spans="1:16" ht="21" customHeight="1">
      <c r="A14" s="251">
        <v>7</v>
      </c>
      <c r="B14" s="244" t="s">
        <v>115</v>
      </c>
      <c r="C14" s="260" t="s">
        <v>116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95</v>
      </c>
      <c r="M14" s="254">
        <f t="shared" si="0"/>
        <v>1.1052461688999999</v>
      </c>
      <c r="N14" s="255" t="s">
        <v>263</v>
      </c>
      <c r="O14" s="250" t="s">
        <v>261</v>
      </c>
      <c r="P14" s="244"/>
    </row>
    <row r="15" spans="1:16" ht="21" customHeight="1">
      <c r="A15" s="251">
        <v>8</v>
      </c>
      <c r="B15" s="244" t="s">
        <v>117</v>
      </c>
      <c r="C15" s="260" t="s">
        <v>118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96</v>
      </c>
      <c r="M15" s="254">
        <f t="shared" si="0"/>
        <v>1.0389446761000001</v>
      </c>
      <c r="N15" s="255" t="s">
        <v>263</v>
      </c>
      <c r="O15" s="250" t="s">
        <v>261</v>
      </c>
      <c r="P15" s="244"/>
    </row>
    <row r="16" spans="1:16" ht="21" customHeight="1">
      <c r="A16" s="251">
        <v>9</v>
      </c>
      <c r="B16" s="244" t="s">
        <v>123</v>
      </c>
      <c r="C16" s="260" t="s">
        <v>124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97</v>
      </c>
      <c r="M16" s="254">
        <f>MAX(D16:J16)</f>
        <v>1.2706602107</v>
      </c>
      <c r="N16" s="255" t="s">
        <v>263</v>
      </c>
      <c r="O16" s="250" t="s">
        <v>261</v>
      </c>
      <c r="P16" s="244"/>
    </row>
    <row r="17" spans="1:16" ht="21" customHeight="1">
      <c r="A17" s="251">
        <v>10</v>
      </c>
      <c r="B17" s="244" t="s">
        <v>119</v>
      </c>
      <c r="C17" s="261" t="s">
        <v>120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100</v>
      </c>
      <c r="M17" s="254">
        <f t="shared" si="0"/>
        <v>1.0355882019</v>
      </c>
      <c r="N17" s="255" t="s">
        <v>263</v>
      </c>
      <c r="O17" s="250" t="s">
        <v>262</v>
      </c>
      <c r="P17" s="244" t="s">
        <v>117</v>
      </c>
    </row>
    <row r="18" spans="1:16" ht="21" customHeight="1">
      <c r="A18" s="251">
        <v>11</v>
      </c>
      <c r="B18" s="244" t="s">
        <v>121</v>
      </c>
      <c r="C18" s="261" t="s">
        <v>122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99</v>
      </c>
      <c r="M18" s="254">
        <f t="shared" si="0"/>
        <v>1.1401797148999999</v>
      </c>
      <c r="N18" s="255" t="s">
        <v>263</v>
      </c>
      <c r="O18" s="250" t="s">
        <v>262</v>
      </c>
      <c r="P18" s="244" t="s">
        <v>123</v>
      </c>
    </row>
    <row r="19" spans="1:16" ht="21" customHeight="1">
      <c r="A19" s="251">
        <v>12</v>
      </c>
      <c r="B19" s="244" t="s">
        <v>125</v>
      </c>
      <c r="C19" s="261" t="s">
        <v>126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98</v>
      </c>
      <c r="M19" s="254">
        <f t="shared" si="0"/>
        <v>1.0552346931000001</v>
      </c>
      <c r="N19" s="255" t="s">
        <v>263</v>
      </c>
      <c r="O19" s="250" t="s">
        <v>262</v>
      </c>
      <c r="P19" s="244" t="s">
        <v>109</v>
      </c>
    </row>
    <row r="20" spans="1:16" ht="21" customHeight="1">
      <c r="A20" s="251">
        <v>13</v>
      </c>
      <c r="B20" s="244" t="s">
        <v>127</v>
      </c>
      <c r="C20" s="261" t="s">
        <v>128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95</v>
      </c>
      <c r="M20" s="254">
        <f t="shared" si="0"/>
        <v>1.0865859003</v>
      </c>
      <c r="N20" s="255" t="s">
        <v>263</v>
      </c>
      <c r="O20" s="250" t="s">
        <v>262</v>
      </c>
      <c r="P20" s="244" t="s">
        <v>111</v>
      </c>
    </row>
    <row r="21" spans="1:16" ht="24.75" customHeight="1">
      <c r="A21" s="251">
        <v>14</v>
      </c>
      <c r="B21" s="244" t="s">
        <v>129</v>
      </c>
      <c r="C21" s="261" t="s">
        <v>130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96</v>
      </c>
      <c r="M21" s="254">
        <f t="shared" si="0"/>
        <v>1.0522626697461936</v>
      </c>
      <c r="N21" s="255" t="s">
        <v>263</v>
      </c>
      <c r="O21" s="250" t="s">
        <v>262</v>
      </c>
      <c r="P21" s="244" t="s">
        <v>117</v>
      </c>
    </row>
    <row r="22" spans="1:16" ht="26.4">
      <c r="A22" s="251">
        <v>15</v>
      </c>
      <c r="B22" s="244" t="s">
        <v>131</v>
      </c>
      <c r="C22" s="262" t="s">
        <v>132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96</v>
      </c>
      <c r="M22" s="254">
        <f>MAX(D22:J22)</f>
        <v>1.03</v>
      </c>
      <c r="N22" s="255" t="s">
        <v>263</v>
      </c>
      <c r="O22" s="250" t="s">
        <v>262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4.4" zeroHeight="1"/>
  <cols>
    <col min="1" max="1" width="2.88671875" style="8" customWidth="1"/>
    <col min="2" max="2" width="5.88671875" style="2" customWidth="1"/>
    <col min="3" max="3" width="65" customWidth="1"/>
    <col min="4" max="4" width="35.88671875" customWidth="1"/>
    <col min="5" max="5" width="11.44140625" customWidth="1"/>
    <col min="6" max="6" width="75.6640625" hidden="1" customWidth="1"/>
    <col min="7" max="16384" width="11.44140625" hidden="1"/>
  </cols>
  <sheetData>
    <row r="1" spans="1:8" s="8" customFormat="1" ht="75.75" customHeight="1"/>
    <row r="2" spans="1:8" s="8" customFormat="1" ht="23.4">
      <c r="B2" s="9" t="s">
        <v>267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491</v>
      </c>
      <c r="D4" s="27">
        <v>45224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492</v>
      </c>
      <c r="D6" s="27">
        <v>42644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268</v>
      </c>
      <c r="D9" s="41" t="s">
        <v>636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472</v>
      </c>
      <c r="D11" s="353" t="s">
        <v>637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269</v>
      </c>
      <c r="D13" s="41" t="s">
        <v>638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270</v>
      </c>
      <c r="D15" s="43" t="s">
        <v>639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271</v>
      </c>
      <c r="D17" s="41" t="s">
        <v>640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272</v>
      </c>
      <c r="D19" s="41" t="s">
        <v>641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273</v>
      </c>
      <c r="D21" s="44" t="s">
        <v>642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274</v>
      </c>
      <c r="D23" s="41" t="s">
        <v>643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473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446</v>
      </c>
      <c r="D27" s="42" t="s">
        <v>402</v>
      </c>
      <c r="E27" s="39"/>
      <c r="F27" s="11"/>
    </row>
    <row r="28" spans="1:15">
      <c r="B28" s="15"/>
      <c r="C28" s="65" t="s">
        <v>490</v>
      </c>
      <c r="D28" s="47" t="str">
        <f>IF(D27&lt;&gt;C28,VLOOKUP(D27,$C$29:$D$29,2,FALSE),C28)</f>
        <v>badenovaNETZE</v>
      </c>
      <c r="E28" s="38"/>
      <c r="F28" s="11"/>
      <c r="G28" s="2"/>
    </row>
    <row r="29" spans="1:15">
      <c r="B29" s="15"/>
      <c r="C29" s="22" t="s">
        <v>402</v>
      </c>
      <c r="D29" s="45" t="s">
        <v>644</v>
      </c>
      <c r="E29" s="40"/>
      <c r="F29" s="11"/>
      <c r="G29" s="2"/>
    </row>
    <row r="30" spans="1:15">
      <c r="B30" s="15"/>
      <c r="C30" s="15"/>
      <c r="D30" s="15"/>
      <c r="E30" s="15"/>
      <c r="F30" s="15"/>
    </row>
    <row r="31" spans="1:15"/>
    <row r="32" spans="1:15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</sheetData>
  <conditionalFormatting sqref="D29">
    <cfRule type="expression" dxfId="115" priority="2">
      <formula>IF(CELL("Zeile",D29)&lt;$D$25+CELL("Zeile",$D$29),1,0)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$C$28:$C$29</formula1>
    </dataValidation>
  </dataValidations>
  <pageMargins left="0.7" right="0.7" top="0.78740157499999996" bottom="0.78740157499999996" header="0.3" footer="0.3"/>
  <pageSetup paperSize="9" scale="80" orientation="portrait" r:id="rId1"/>
  <ignoredErrors>
    <ignoredError sqref="D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46"/>
  <sheetViews>
    <sheetView showGridLines="0" topLeftCell="A3" zoomScale="80" zoomScaleNormal="80" workbookViewId="0">
      <selection activeCell="D47" sqref="D47"/>
    </sheetView>
  </sheetViews>
  <sheetFormatPr baseColWidth="10" defaultColWidth="0" defaultRowHeight="18" customHeight="1"/>
  <cols>
    <col min="1" max="1" width="2.88671875" style="8" customWidth="1"/>
    <col min="2" max="2" width="5.88671875" style="8" customWidth="1"/>
    <col min="3" max="3" width="51.44140625" style="8" customWidth="1"/>
    <col min="4" max="4" width="33.109375" style="8" customWidth="1"/>
    <col min="5" max="5" width="26.5546875" style="8" customWidth="1"/>
    <col min="6" max="39" width="8.88671875" style="13" hidden="1" customWidth="1"/>
    <col min="40" max="16384" width="8.88671875" style="8" hidden="1"/>
  </cols>
  <sheetData>
    <row r="1" spans="2:15" ht="75" customHeight="1"/>
    <row r="2" spans="2:15" ht="23.4">
      <c r="B2" s="9" t="s">
        <v>275</v>
      </c>
    </row>
    <row r="3" spans="2:15" ht="14.4"/>
    <row r="4" spans="2:15" ht="14.4">
      <c r="B4" s="15"/>
      <c r="C4" s="15"/>
      <c r="D4" s="15"/>
      <c r="E4" s="15"/>
    </row>
    <row r="5" spans="2:15" ht="15" customHeight="1">
      <c r="B5" s="22"/>
      <c r="C5" s="55" t="s">
        <v>432</v>
      </c>
      <c r="D5" s="57" t="str">
        <f>Netzbetreiber!$D$9</f>
        <v>badenovaNETZE GmbH</v>
      </c>
      <c r="H5" s="67"/>
      <c r="I5" s="67"/>
      <c r="J5" s="67"/>
      <c r="K5" s="67"/>
    </row>
    <row r="6" spans="2:15" ht="15" customHeight="1">
      <c r="B6" s="22"/>
      <c r="C6" s="61" t="s">
        <v>431</v>
      </c>
      <c r="D6" s="57" t="str">
        <f>Netzbetreiber!D28</f>
        <v>badenovaNETZE</v>
      </c>
      <c r="E6" s="15"/>
      <c r="H6" s="67"/>
      <c r="I6" s="67"/>
      <c r="J6" s="67"/>
      <c r="K6" s="67"/>
    </row>
    <row r="7" spans="2:15" ht="15" customHeight="1">
      <c r="B7" s="22"/>
      <c r="C7" s="59" t="s">
        <v>475</v>
      </c>
      <c r="D7" s="60" t="str">
        <f>Netzbetreiber!$D$11</f>
        <v>9800192200000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42644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594</v>
      </c>
      <c r="D11" s="33" t="s">
        <v>595</v>
      </c>
      <c r="E11" s="15"/>
      <c r="H11" s="276" t="s">
        <v>595</v>
      </c>
      <c r="I11" s="276" t="s">
        <v>596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632</v>
      </c>
      <c r="D13" s="42" t="s">
        <v>646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83</v>
      </c>
      <c r="C15" s="31" t="s">
        <v>375</v>
      </c>
      <c r="D15" s="48" t="s">
        <v>266</v>
      </c>
      <c r="E15" s="15"/>
      <c r="H15" s="274" t="s">
        <v>266</v>
      </c>
      <c r="I15" s="274" t="s">
        <v>135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567</v>
      </c>
      <c r="I16" s="275" t="s">
        <v>476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477</v>
      </c>
      <c r="I17" s="275" t="s">
        <v>478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84</v>
      </c>
      <c r="C19" s="8" t="s">
        <v>592</v>
      </c>
      <c r="D19" s="48" t="s">
        <v>588</v>
      </c>
      <c r="E19" s="15"/>
      <c r="H19" s="272" t="s">
        <v>588</v>
      </c>
      <c r="I19" s="272" t="s">
        <v>589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8" t="s">
        <v>590</v>
      </c>
      <c r="E20" s="15"/>
      <c r="H20" s="272" t="s">
        <v>591</v>
      </c>
      <c r="I20" s="8" t="s">
        <v>587</v>
      </c>
      <c r="J20" s="8"/>
      <c r="K20" s="8"/>
      <c r="L20" s="273"/>
    </row>
    <row r="21" spans="2:16" ht="15" customHeight="1">
      <c r="B21" s="22"/>
      <c r="C21" s="24" t="s">
        <v>593</v>
      </c>
      <c r="D21" s="24" t="str">
        <f>IF(D19=$H$19,L21,IF(D20=$H$21,M21,N21))</f>
        <v>=&gt;  Q(D) = KW  x  h(T, SLP-Typ)  x  F(WT)</v>
      </c>
      <c r="E21" s="15"/>
      <c r="H21" s="272" t="s">
        <v>590</v>
      </c>
      <c r="I21" s="272" t="s">
        <v>597</v>
      </c>
      <c r="J21" s="8"/>
      <c r="K21" s="8"/>
      <c r="L21" s="275" t="s">
        <v>598</v>
      </c>
      <c r="M21" s="275" t="s">
        <v>600</v>
      </c>
      <c r="N21" s="275" t="s">
        <v>599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85</v>
      </c>
      <c r="C23" s="6" t="s">
        <v>570</v>
      </c>
      <c r="D23" s="42" t="s">
        <v>136</v>
      </c>
      <c r="E23" s="15"/>
      <c r="H23" s="274" t="s">
        <v>134</v>
      </c>
      <c r="I23" s="274" t="s">
        <v>136</v>
      </c>
      <c r="J23" s="272"/>
      <c r="K23" s="272"/>
      <c r="L23" s="273"/>
    </row>
    <row r="24" spans="2:16" ht="15" customHeight="1">
      <c r="B24" s="7"/>
      <c r="C24" s="6" t="s">
        <v>601</v>
      </c>
      <c r="D24" s="42" t="s">
        <v>602</v>
      </c>
      <c r="E24" s="15"/>
      <c r="H24" s="308" t="s">
        <v>602</v>
      </c>
      <c r="I24" s="274" t="s">
        <v>603</v>
      </c>
      <c r="J24" s="274" t="s">
        <v>604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605</v>
      </c>
      <c r="I25" s="275" t="s">
        <v>606</v>
      </c>
      <c r="J25" s="275" t="s">
        <v>607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608</v>
      </c>
      <c r="I26" s="275" t="s">
        <v>609</v>
      </c>
      <c r="J26" s="275" t="s">
        <v>610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377</v>
      </c>
      <c r="C28" s="6" t="s">
        <v>569</v>
      </c>
      <c r="D28" s="42" t="s">
        <v>136</v>
      </c>
      <c r="E28" s="15"/>
      <c r="H28" s="274" t="s">
        <v>134</v>
      </c>
      <c r="I28" s="274" t="s">
        <v>136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611</v>
      </c>
      <c r="I29" s="275" t="s">
        <v>612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613</v>
      </c>
      <c r="I30" s="272" t="s">
        <v>608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481</v>
      </c>
      <c r="C32" s="24" t="s">
        <v>484</v>
      </c>
      <c r="D32" s="268">
        <v>15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541</v>
      </c>
      <c r="C34" s="5" t="s">
        <v>372</v>
      </c>
      <c r="D34" s="34">
        <v>1500000</v>
      </c>
      <c r="E34" s="15" t="s">
        <v>497</v>
      </c>
      <c r="I34" s="272"/>
      <c r="J34" s="272"/>
      <c r="K34" s="272"/>
      <c r="L34" s="272"/>
      <c r="M34" s="273"/>
    </row>
    <row r="35" spans="2:39" customFormat="1" ht="15" customHeight="1">
      <c r="C35" s="8" t="s">
        <v>479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542</v>
      </c>
      <c r="C37" s="5" t="s">
        <v>373</v>
      </c>
      <c r="D37" s="36">
        <v>500</v>
      </c>
      <c r="E37" s="15" t="s">
        <v>533</v>
      </c>
      <c r="H37" s="67"/>
      <c r="I37" s="67"/>
      <c r="J37" s="67"/>
      <c r="K37" s="67"/>
    </row>
    <row r="38" spans="2:39" ht="15" customHeight="1">
      <c r="C38" s="8" t="s">
        <v>480</v>
      </c>
    </row>
    <row r="39" spans="2:39" ht="15" customHeight="1">
      <c r="B39" s="7"/>
      <c r="C39" s="3"/>
    </row>
    <row r="40" spans="2:39" ht="15" customHeight="1">
      <c r="B40" s="7"/>
      <c r="C40" s="3" t="s">
        <v>532</v>
      </c>
    </row>
    <row r="41" spans="2:39" ht="18" customHeight="1">
      <c r="C41" s="3" t="s">
        <v>534</v>
      </c>
    </row>
    <row r="42" spans="2:39" ht="18" customHeight="1">
      <c r="C42" s="3"/>
    </row>
    <row r="43" spans="2:39" ht="15" customHeight="1">
      <c r="B43" s="22" t="s">
        <v>543</v>
      </c>
      <c r="C43" s="59" t="s">
        <v>568</v>
      </c>
      <c r="D43" s="42">
        <v>2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>
        <f t="shared" ref="I44:V44" si="0">IF(I43&lt;=$D$43,I43,"")</f>
        <v>2</v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578</v>
      </c>
      <c r="D45" s="355" t="s">
        <v>647</v>
      </c>
    </row>
    <row r="46" spans="2:39" ht="18" customHeight="1">
      <c r="C46" s="22" t="s">
        <v>579</v>
      </c>
      <c r="D46" s="355" t="s">
        <v>652</v>
      </c>
    </row>
  </sheetData>
  <conditionalFormatting sqref="D13">
    <cfRule type="expression" dxfId="114" priority="22">
      <formula>IF(#REF!="Gaspool",1,0)</formula>
    </cfRule>
  </conditionalFormatting>
  <conditionalFormatting sqref="D20">
    <cfRule type="expression" dxfId="113" priority="16">
      <formula>IF($D$19=$H$19,1,0)</formula>
    </cfRule>
  </conditionalFormatting>
  <conditionalFormatting sqref="D28">
    <cfRule type="expression" dxfId="112" priority="5">
      <formula>IF($D$15="synthetisch",1,0)</formula>
    </cfRule>
  </conditionalFormatting>
  <conditionalFormatting sqref="D25">
    <cfRule type="expression" dxfId="111" priority="3">
      <formula>IF(AND($D$24=$I$24,$D$23=$H$23),1,0)</formula>
    </cfRule>
  </conditionalFormatting>
  <conditionalFormatting sqref="D23:D25">
    <cfRule type="expression" dxfId="110" priority="6">
      <formula>IF($D$15="analytisch",1,0)</formula>
    </cfRule>
  </conditionalFormatting>
  <conditionalFormatting sqref="D24">
    <cfRule type="expression" dxfId="109" priority="4">
      <formula>IF($D$23="nein",1)</formula>
    </cfRule>
  </conditionalFormatting>
  <conditionalFormatting sqref="D46">
    <cfRule type="expression" dxfId="108" priority="1">
      <formula>IF(CELL(D46)&lt;$D$36+27,1,0)</formula>
    </cfRule>
  </conditionalFormatting>
  <conditionalFormatting sqref="D45:D46">
    <cfRule type="expression" dxfId="107" priority="32">
      <formula>IF(CELL("Zeile",D45)&lt;$D$46+CELL("Zeile",#REF!),1,0)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BD79"/>
  <sheetViews>
    <sheetView showGridLines="0" zoomScale="85" zoomScaleNormal="85" workbookViewId="0">
      <selection activeCell="I4" sqref="I4"/>
    </sheetView>
  </sheetViews>
  <sheetFormatPr baseColWidth="10" defaultColWidth="1" defaultRowHeight="14.4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5" width="22" style="128" customWidth="1"/>
    <col min="6" max="6" width="20.44140625" style="128" bestFit="1" customWidth="1"/>
    <col min="7" max="7" width="11.109375" style="128" bestFit="1" customWidth="1"/>
    <col min="8" max="8" width="11.44140625" style="128" customWidth="1"/>
    <col min="9" max="9" width="21.88671875" style="128" customWidth="1"/>
    <col min="10" max="14" width="8.88671875" style="128" customWidth="1"/>
    <col min="15" max="15" width="37.44140625" style="128" customWidth="1"/>
    <col min="16" max="16" width="7.33203125" style="170" customWidth="1"/>
    <col min="17" max="17" width="7.33203125" style="209" customWidth="1"/>
    <col min="18" max="18" width="7.33203125" style="209" hidden="1" customWidth="1"/>
    <col min="19" max="19" width="13.44140625" style="209" hidden="1" customWidth="1"/>
    <col min="20" max="20" width="23.5546875" style="209" hidden="1" customWidth="1"/>
    <col min="21" max="21" width="5.44140625" style="209" hidden="1" customWidth="1"/>
    <col min="22" max="22" width="5" style="209" hidden="1" customWidth="1"/>
    <col min="23" max="23" width="5.33203125" style="209" hidden="1" customWidth="1"/>
    <col min="24" max="24" width="5" style="209" hidden="1" customWidth="1"/>
    <col min="25" max="25" width="8.109375" style="209" hidden="1" customWidth="1"/>
    <col min="26" max="26" width="11.6640625" style="209" hidden="1" customWidth="1"/>
    <col min="27" max="27" width="8.88671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4140625" style="56" hidden="1" customWidth="1"/>
    <col min="38" max="38" width="4" style="56" hidden="1" customWidth="1"/>
    <col min="39" max="47" width="4.44140625" style="56" hidden="1" customWidth="1"/>
    <col min="48" max="48" width="4" style="56" hidden="1" customWidth="1"/>
    <col min="49" max="126" width="1" style="56" customWidth="1"/>
    <col min="127" max="16384" width="1" style="56"/>
  </cols>
  <sheetData>
    <row r="1" spans="2:56" ht="75" customHeight="1"/>
    <row r="2" spans="2:56" ht="23.4">
      <c r="B2" s="171" t="s">
        <v>536</v>
      </c>
    </row>
    <row r="3" spans="2:56" ht="15" customHeight="1">
      <c r="B3" s="171"/>
    </row>
    <row r="4" spans="2:56">
      <c r="B4" s="130"/>
      <c r="C4" s="55" t="s">
        <v>432</v>
      </c>
      <c r="D4" s="56"/>
      <c r="E4" s="57" t="s">
        <v>651</v>
      </c>
      <c r="F4" s="130"/>
      <c r="M4" s="130"/>
      <c r="N4" s="130"/>
      <c r="O4" s="130"/>
    </row>
    <row r="5" spans="2:56">
      <c r="B5" s="130"/>
      <c r="C5" s="55" t="s">
        <v>431</v>
      </c>
      <c r="D5" s="56"/>
      <c r="E5" s="57" t="str">
        <f>Netzbetreiber!D28</f>
        <v>badenovaNETZE</v>
      </c>
      <c r="F5" s="130"/>
      <c r="G5" s="130"/>
      <c r="H5" s="130"/>
      <c r="M5" s="130"/>
      <c r="N5" s="130"/>
      <c r="O5" s="130"/>
    </row>
    <row r="6" spans="2:56">
      <c r="B6" s="130"/>
      <c r="C6" s="59" t="s">
        <v>475</v>
      </c>
      <c r="D6" s="56"/>
      <c r="E6" s="60" t="s">
        <v>637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486</v>
      </c>
      <c r="J8" s="130"/>
      <c r="K8" s="130"/>
      <c r="L8" s="130"/>
      <c r="M8" s="130"/>
      <c r="N8" s="130"/>
      <c r="O8" s="130"/>
    </row>
    <row r="9" spans="2:56">
      <c r="B9" s="130"/>
      <c r="C9" s="59" t="s">
        <v>514</v>
      </c>
      <c r="D9" s="130"/>
      <c r="E9" s="130"/>
      <c r="F9" s="154">
        <f>'SLP-Verfahren'!D43</f>
        <v>2</v>
      </c>
      <c r="H9" s="172" t="s">
        <v>580</v>
      </c>
      <c r="J9" s="130"/>
      <c r="K9" s="130"/>
      <c r="L9" s="130"/>
      <c r="M9" s="130"/>
      <c r="N9" s="130"/>
      <c r="O9" s="130"/>
    </row>
    <row r="10" spans="2:56">
      <c r="B10" s="130"/>
      <c r="C10" s="55" t="s">
        <v>577</v>
      </c>
      <c r="D10" s="130"/>
      <c r="E10" s="130"/>
      <c r="F10" s="299">
        <v>1</v>
      </c>
      <c r="G10" s="56"/>
      <c r="H10" s="172" t="s">
        <v>581</v>
      </c>
      <c r="J10" s="130"/>
      <c r="K10" s="130"/>
      <c r="L10" s="130"/>
      <c r="M10" s="130"/>
      <c r="N10" s="130"/>
      <c r="O10" s="130"/>
    </row>
    <row r="11" spans="2:56">
      <c r="B11" s="130"/>
      <c r="C11" s="55" t="s">
        <v>582</v>
      </c>
      <c r="D11" s="130"/>
      <c r="E11" s="130"/>
      <c r="F11" s="296" t="str">
        <f>INDEX('SLP-Verfahren'!D45:D46,'SLP-Temp-Gebiet #01'!F10)</f>
        <v>March/Breisgau</v>
      </c>
      <c r="G11" s="300"/>
      <c r="H11" s="298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97" t="s">
        <v>576</v>
      </c>
      <c r="D13" s="397"/>
      <c r="E13" s="397"/>
      <c r="F13" s="183" t="s">
        <v>540</v>
      </c>
      <c r="G13" s="130" t="s">
        <v>538</v>
      </c>
      <c r="H13" s="265" t="s">
        <v>555</v>
      </c>
      <c r="I13" s="56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98" t="s">
        <v>435</v>
      </c>
      <c r="D14" s="398"/>
      <c r="E14" s="89" t="s">
        <v>436</v>
      </c>
      <c r="F14" s="266" t="s">
        <v>85</v>
      </c>
      <c r="G14" s="267" t="s">
        <v>564</v>
      </c>
      <c r="H14" s="50">
        <v>0</v>
      </c>
      <c r="I14" s="56"/>
      <c r="J14" s="130"/>
      <c r="K14" s="130"/>
      <c r="L14" s="130"/>
      <c r="M14" s="130"/>
      <c r="N14" s="130"/>
      <c r="O14" s="173" t="s">
        <v>519</v>
      </c>
      <c r="R14" s="209" t="s">
        <v>556</v>
      </c>
      <c r="S14" s="209" t="s">
        <v>557</v>
      </c>
      <c r="T14" s="209" t="s">
        <v>558</v>
      </c>
      <c r="U14" s="209" t="s">
        <v>559</v>
      </c>
      <c r="V14" s="209" t="s">
        <v>539</v>
      </c>
      <c r="W14" s="209" t="s">
        <v>560</v>
      </c>
      <c r="X14" s="209" t="s">
        <v>561</v>
      </c>
      <c r="Y14" s="209" t="s">
        <v>562</v>
      </c>
      <c r="Z14" s="209" t="s">
        <v>563</v>
      </c>
      <c r="AA14" s="209" t="s">
        <v>564</v>
      </c>
      <c r="AB14" s="209" t="s">
        <v>565</v>
      </c>
      <c r="AC14" s="209" t="s">
        <v>566</v>
      </c>
    </row>
    <row r="15" spans="2:56" ht="19.5" customHeight="1">
      <c r="B15" s="130"/>
      <c r="C15" s="398" t="s">
        <v>394</v>
      </c>
      <c r="D15" s="398"/>
      <c r="E15" s="89" t="s">
        <v>436</v>
      </c>
      <c r="F15" s="266" t="s">
        <v>71</v>
      </c>
      <c r="G15" s="267" t="s">
        <v>558</v>
      </c>
      <c r="H15" s="50">
        <v>0</v>
      </c>
      <c r="I15" s="56"/>
      <c r="J15" s="130"/>
      <c r="K15" s="130"/>
      <c r="L15" s="130"/>
      <c r="M15" s="130"/>
      <c r="N15" s="130"/>
      <c r="O15" s="161" t="s">
        <v>493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377</v>
      </c>
      <c r="AH15" s="264" t="s">
        <v>481</v>
      </c>
      <c r="AI15" s="264" t="s">
        <v>541</v>
      </c>
      <c r="AJ15" s="264" t="s">
        <v>542</v>
      </c>
      <c r="AK15" s="264" t="s">
        <v>543</v>
      </c>
      <c r="AL15" s="264" t="s">
        <v>544</v>
      </c>
      <c r="AM15" s="264" t="s">
        <v>545</v>
      </c>
      <c r="AN15" s="264" t="s">
        <v>546</v>
      </c>
      <c r="AO15" s="264" t="s">
        <v>547</v>
      </c>
      <c r="AP15" s="264" t="s">
        <v>548</v>
      </c>
      <c r="AQ15" s="264" t="s">
        <v>549</v>
      </c>
      <c r="AR15" s="264" t="s">
        <v>550</v>
      </c>
      <c r="AS15" s="264" t="s">
        <v>551</v>
      </c>
      <c r="AT15" s="264" t="s">
        <v>552</v>
      </c>
      <c r="AU15" s="264" t="s">
        <v>553</v>
      </c>
      <c r="AV15" s="264" t="s">
        <v>554</v>
      </c>
      <c r="AW15" s="264"/>
      <c r="AX15" s="264"/>
      <c r="AY15" s="264"/>
      <c r="AZ15" s="264"/>
      <c r="BA15" s="264"/>
      <c r="BB15" s="264"/>
      <c r="BC15" s="264"/>
      <c r="BD15" s="264"/>
    </row>
    <row r="16" spans="2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509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515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1</v>
      </c>
      <c r="H19" s="178">
        <f t="shared" si="0"/>
        <v>1</v>
      </c>
      <c r="I19" s="178">
        <f t="shared" si="0"/>
        <v>1</v>
      </c>
      <c r="J19" s="178">
        <f t="shared" si="0"/>
        <v>1</v>
      </c>
      <c r="K19" s="178">
        <f t="shared" si="0"/>
        <v>1</v>
      </c>
      <c r="L19" s="178">
        <f t="shared" si="0"/>
        <v>1</v>
      </c>
      <c r="M19" s="178">
        <f t="shared" si="0"/>
        <v>1</v>
      </c>
      <c r="N19" s="178">
        <f t="shared" si="0"/>
        <v>1</v>
      </c>
      <c r="O19" s="130"/>
    </row>
    <row r="20" spans="1:28" ht="33.75" customHeight="1">
      <c r="B20" s="130"/>
      <c r="C20" s="179" t="s">
        <v>510</v>
      </c>
      <c r="D20" s="180" t="s">
        <v>505</v>
      </c>
      <c r="E20" s="181">
        <v>1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517</v>
      </c>
      <c r="D21" s="153" t="s">
        <v>507</v>
      </c>
      <c r="E21" s="289">
        <f>1-SUMPRODUCT(F19:N19,F21:N21)</f>
        <v>1</v>
      </c>
      <c r="F21" s="289"/>
      <c r="G21" s="290"/>
      <c r="H21" s="290"/>
      <c r="I21" s="290"/>
      <c r="J21" s="290"/>
      <c r="K21" s="290"/>
      <c r="L21" s="290"/>
      <c r="M21" s="290"/>
      <c r="N21" s="290"/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529</v>
      </c>
      <c r="D22" s="186">
        <f>SUMPRODUCT(E22:N22,E19:N19)</f>
        <v>1</v>
      </c>
      <c r="E22" s="291">
        <v>1</v>
      </c>
      <c r="F22" s="291"/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137</v>
      </c>
      <c r="D23" s="188"/>
      <c r="E23" s="361" t="s">
        <v>493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85" t="s">
        <v>142</v>
      </c>
      <c r="Q23" s="211"/>
      <c r="R23" s="67" t="s">
        <v>139</v>
      </c>
      <c r="S23" s="67" t="s">
        <v>493</v>
      </c>
      <c r="T23" s="297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512</v>
      </c>
      <c r="D24" s="188"/>
      <c r="E24" s="361" t="s">
        <v>647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85" t="s">
        <v>513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506</v>
      </c>
      <c r="D25" s="188"/>
      <c r="E25" s="361">
        <v>10802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141</v>
      </c>
      <c r="D26" s="188"/>
      <c r="E26" s="362" t="s">
        <v>494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209" t="s">
        <v>494</v>
      </c>
      <c r="S26" s="209" t="s">
        <v>634</v>
      </c>
      <c r="T26" s="209" t="s">
        <v>635</v>
      </c>
      <c r="U26" s="209" t="s">
        <v>495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8"/>
      <c r="C27" s="349" t="s">
        <v>633</v>
      </c>
      <c r="D27" s="350"/>
      <c r="E27" s="350" t="str">
        <f>IF(E26="Individuelle GPT",CONCATENATE(Netzbetreiber!$D$11,'SLP-Temp-Gebiet #01'!E25,"B"),IF('SLP-Temp-Gebiet #01'!E26="Allgemeine GPT",CONCATENATE(Netzbetreiber!$D$11,'SLP-Temp-Gebiet #01'!E25,"A"),""))</f>
        <v/>
      </c>
      <c r="F27" s="350" t="str">
        <f>IF(F26="Individuelle GPT",CONCATENATE(Netzbetreiber!$D$11,'SLP-Temp-Gebiet #01'!F25,"B"),IF('SLP-Temp-Gebiet #01'!F26="Allgemeine GPT",CONCATENATE(Netzbetreiber!$D$11,'SLP-Temp-Gebiet #01'!F25,"A"),""))</f>
        <v/>
      </c>
      <c r="G27" s="350" t="str">
        <f>IF(G26="Individuelle GPT",CONCATENATE(Netzbetreiber!$D$11,'SLP-Temp-Gebiet #01'!G25,"B"),IF('SLP-Temp-Gebiet #01'!G26="Allgemeine GPT",CONCATENATE(Netzbetreiber!$D$11,'SLP-Temp-Gebiet #01'!G25,"A"),""))</f>
        <v/>
      </c>
      <c r="H27" s="350" t="str">
        <f>IF(H26="Individuelle GPT",CONCATENATE(Netzbetreiber!$D$11,'SLP-Temp-Gebiet #01'!H25,"B"),IF('SLP-Temp-Gebiet #01'!H26="Allgemeine GPT",CONCATENATE(Netzbetreiber!$D$11,'SLP-Temp-Gebiet #01'!H25,"A"),""))</f>
        <v/>
      </c>
      <c r="I27" s="350" t="str">
        <f>IF(I26="Individuelle GPT",CONCATENATE(Netzbetreiber!$D$11,'SLP-Temp-Gebiet #01'!I25,"B"),IF('SLP-Temp-Gebiet #01'!I26="Allgemeine GPT",CONCATENATE(Netzbetreiber!$D$11,'SLP-Temp-Gebiet #01'!I25,"A"),""))</f>
        <v/>
      </c>
      <c r="J27" s="350" t="str">
        <f>IF(J26="Individuelle GPT",CONCATENATE(Netzbetreiber!$D$11,'SLP-Temp-Gebiet #01'!J25,"B"),IF('SLP-Temp-Gebiet #01'!J26="Allgemeine GPT",CONCATENATE(Netzbetreiber!$D$11,'SLP-Temp-Gebiet #01'!J25,"A"),""))</f>
        <v/>
      </c>
      <c r="K27" s="350" t="str">
        <f>IF(K26="Individuelle GPT",CONCATENATE(Netzbetreiber!$D$11,'SLP-Temp-Gebiet #01'!K25,"B"),IF('SLP-Temp-Gebiet #01'!K26="Allgemeine GPT",CONCATENATE(Netzbetreiber!$D$11,'SLP-Temp-Gebiet #01'!K25,"A"),""))</f>
        <v/>
      </c>
      <c r="L27" s="350" t="str">
        <f>IF(L26="Individuelle GPT",CONCATENATE(Netzbetreiber!$D$11,'SLP-Temp-Gebiet #01'!L25,"B"),IF('SLP-Temp-Gebiet #01'!L26="Allgemeine GPT",CONCATENATE(Netzbetreiber!$D$11,'SLP-Temp-Gebiet #01'!L25,"A"),""))</f>
        <v/>
      </c>
      <c r="M27" s="350" t="str">
        <f>IF(M26="Individuelle GPT",CONCATENATE(Netzbetreiber!$D$11,'SLP-Temp-Gebiet #01'!M25,"B"),IF('SLP-Temp-Gebiet #01'!M26="Allgemeine GPT",CONCATENATE(Netzbetreiber!$D$11,'SLP-Temp-Gebiet #01'!M25,"A"),""))</f>
        <v/>
      </c>
      <c r="N27" s="350" t="str">
        <f>IF(N26="Individuelle GPT",CONCATENATE(Netzbetreiber!$D$11,'SLP-Temp-Gebiet #01'!N25,"B"),IF('SLP-Temp-Gebiet #01'!N26="Allgemeine GPT",CONCATENATE(Netzbetreiber!$D$11,'SLP-Temp-Gebiet #01'!N25,"A"),""))</f>
        <v/>
      </c>
      <c r="O27" s="351" t="s">
        <v>143</v>
      </c>
      <c r="P27" s="13"/>
      <c r="Q27" s="211"/>
      <c r="R27" s="209" t="s">
        <v>494</v>
      </c>
      <c r="S27" s="209" t="s">
        <v>495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511</v>
      </c>
      <c r="D29" s="130"/>
      <c r="E29" s="130"/>
      <c r="F29" s="48">
        <v>5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1">IF(F31&gt;$F$29,0,1)</f>
        <v>1</v>
      </c>
      <c r="G30" s="178">
        <f t="shared" si="1"/>
        <v>1</v>
      </c>
      <c r="H30" s="178">
        <f t="shared" si="1"/>
        <v>1</v>
      </c>
      <c r="I30" s="178">
        <f t="shared" si="1"/>
        <v>1</v>
      </c>
      <c r="J30" s="178">
        <f t="shared" si="1"/>
        <v>0</v>
      </c>
      <c r="K30" s="178">
        <f t="shared" si="1"/>
        <v>0</v>
      </c>
      <c r="L30" s="178">
        <f t="shared" si="1"/>
        <v>0</v>
      </c>
      <c r="M30" s="178">
        <f t="shared" si="1"/>
        <v>0</v>
      </c>
      <c r="N30" s="178">
        <f t="shared" si="1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140</v>
      </c>
      <c r="D31" s="180" t="s">
        <v>265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518</v>
      </c>
      <c r="D32" s="186" t="s">
        <v>264</v>
      </c>
      <c r="E32" s="287">
        <f>1-SUMPRODUCT(F30:N30,F32:N32)</f>
        <v>0.41069999999999995</v>
      </c>
      <c r="F32" s="287">
        <f>ROUND(F33/$D$33,4)</f>
        <v>0.20530000000000001</v>
      </c>
      <c r="G32" s="357">
        <f t="shared" ref="G32:I32" si="2">ROUND(G33/$D$33,4)</f>
        <v>0.1027</v>
      </c>
      <c r="H32" s="357">
        <f t="shared" si="2"/>
        <v>5.1299999999999998E-2</v>
      </c>
      <c r="I32" s="357">
        <f t="shared" si="2"/>
        <v>0.23</v>
      </c>
      <c r="J32" s="287">
        <f t="shared" ref="J32:N32" si="3">ROUND(J33/$D$33,4)</f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649</v>
      </c>
      <c r="D33" s="293">
        <f>SUMPRODUCT(E33:N33,E30:N30)</f>
        <v>1.875</v>
      </c>
      <c r="E33" s="288">
        <v>0.77</v>
      </c>
      <c r="F33" s="288">
        <v>0.38500000000000001</v>
      </c>
      <c r="G33" s="358">
        <v>0.1925</v>
      </c>
      <c r="H33" s="358">
        <v>9.6250000000000002E-2</v>
      </c>
      <c r="I33" s="359">
        <v>0.43125000000000002</v>
      </c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368</v>
      </c>
      <c r="D34" s="153" t="s">
        <v>367</v>
      </c>
      <c r="E34" s="156" t="s">
        <v>3</v>
      </c>
      <c r="F34" s="156" t="s">
        <v>366</v>
      </c>
      <c r="G34" s="356" t="s">
        <v>357</v>
      </c>
      <c r="H34" s="356" t="s">
        <v>358</v>
      </c>
      <c r="I34" s="356" t="s">
        <v>650</v>
      </c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366</v>
      </c>
      <c r="T34" s="67" t="s">
        <v>357</v>
      </c>
      <c r="U34" s="67" t="s">
        <v>358</v>
      </c>
      <c r="V34" s="67" t="s">
        <v>359</v>
      </c>
      <c r="W34" s="67" t="s">
        <v>360</v>
      </c>
      <c r="X34" s="67" t="s">
        <v>361</v>
      </c>
      <c r="Y34" s="67" t="s">
        <v>362</v>
      </c>
      <c r="Z34" s="67" t="s">
        <v>363</v>
      </c>
      <c r="AA34" s="67" t="s">
        <v>364</v>
      </c>
      <c r="AB34" s="67" t="s">
        <v>365</v>
      </c>
    </row>
    <row r="35" spans="2:28">
      <c r="B35" s="183"/>
      <c r="C35" s="187" t="s">
        <v>438</v>
      </c>
      <c r="D35" s="153" t="s">
        <v>437</v>
      </c>
      <c r="E35" s="156" t="s">
        <v>503</v>
      </c>
      <c r="F35" s="156" t="s">
        <v>503</v>
      </c>
      <c r="G35" s="356" t="s">
        <v>503</v>
      </c>
      <c r="H35" s="356" t="s">
        <v>503</v>
      </c>
      <c r="I35" s="356" t="s">
        <v>503</v>
      </c>
      <c r="J35" s="162"/>
      <c r="K35" s="162"/>
      <c r="L35" s="162"/>
      <c r="M35" s="162"/>
      <c r="N35" s="162"/>
      <c r="O35" s="185" t="s">
        <v>142</v>
      </c>
      <c r="Q35" s="211"/>
      <c r="R35" s="67" t="s">
        <v>503</v>
      </c>
      <c r="S35" s="67" t="s">
        <v>504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584</v>
      </c>
      <c r="D36" s="153" t="s">
        <v>585</v>
      </c>
      <c r="E36" s="156" t="s">
        <v>586</v>
      </c>
      <c r="F36" s="156" t="s">
        <v>586</v>
      </c>
      <c r="G36" s="356" t="s">
        <v>586</v>
      </c>
      <c r="H36" s="356" t="s">
        <v>586</v>
      </c>
      <c r="I36" s="356" t="s">
        <v>586</v>
      </c>
      <c r="J36" s="156" t="s">
        <v>583</v>
      </c>
      <c r="K36" s="156" t="s">
        <v>583</v>
      </c>
      <c r="L36" s="156" t="s">
        <v>583</v>
      </c>
      <c r="M36" s="156" t="s">
        <v>583</v>
      </c>
      <c r="N36" s="156" t="s">
        <v>583</v>
      </c>
      <c r="O36" s="185" t="s">
        <v>142</v>
      </c>
      <c r="Q36" s="211"/>
      <c r="R36" s="67" t="s">
        <v>583</v>
      </c>
      <c r="S36" s="67" t="s">
        <v>586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430</v>
      </c>
      <c r="D37" s="119" t="s">
        <v>530</v>
      </c>
      <c r="E37" s="162" t="s">
        <v>439</v>
      </c>
      <c r="F37" s="162" t="s">
        <v>439</v>
      </c>
      <c r="G37" s="360" t="s">
        <v>440</v>
      </c>
      <c r="H37" s="360" t="s">
        <v>440</v>
      </c>
      <c r="I37" s="360" t="s">
        <v>648</v>
      </c>
      <c r="J37" s="162"/>
      <c r="K37" s="162"/>
      <c r="L37" s="162"/>
      <c r="M37" s="162"/>
      <c r="N37" s="162"/>
      <c r="O37" s="185" t="s">
        <v>142</v>
      </c>
      <c r="Q37" s="211"/>
      <c r="R37" s="67" t="s">
        <v>440</v>
      </c>
      <c r="S37" s="67" t="s">
        <v>439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276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5.6">
      <c r="B40" s="193"/>
      <c r="C40" s="197" t="s">
        <v>356</v>
      </c>
      <c r="D40" s="198"/>
      <c r="E40" s="198" t="s">
        <v>523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516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521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522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527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528</v>
      </c>
      <c r="D47" s="201" t="s">
        <v>526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369</v>
      </c>
      <c r="K47" s="198"/>
      <c r="L47" s="198"/>
      <c r="M47" s="198"/>
      <c r="N47" s="198"/>
      <c r="O47" s="199"/>
    </row>
    <row r="48" spans="2:28">
      <c r="B48" s="193"/>
      <c r="C48" s="200" t="s">
        <v>355</v>
      </c>
      <c r="D48" s="201" t="s">
        <v>526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369</v>
      </c>
      <c r="K48" s="198"/>
      <c r="L48" s="198"/>
      <c r="M48" s="198"/>
      <c r="N48" s="198"/>
      <c r="O48" s="199"/>
    </row>
    <row r="49" spans="2:28" ht="1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">
      <c r="B51" s="176" t="s">
        <v>571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535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510</v>
      </c>
      <c r="D55" s="180" t="s">
        <v>505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144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517</v>
      </c>
      <c r="D56" s="153" t="s">
        <v>507</v>
      </c>
      <c r="E56" s="287">
        <f>1-SUMPRODUCT(F54:N54,F56:N56)</f>
        <v>1</v>
      </c>
      <c r="F56" s="287">
        <f>ROUND(F57/$D$57,4)</f>
        <v>0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529</v>
      </c>
      <c r="D57" s="186">
        <f>SUMPRODUCT(E57:N57,E54:N54)</f>
        <v>1</v>
      </c>
      <c r="E57" s="288">
        <f>E22</f>
        <v>1</v>
      </c>
      <c r="F57" s="288">
        <f t="shared" ref="F57:N57" si="6">F22</f>
        <v>0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145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137</v>
      </c>
      <c r="D58" s="188"/>
      <c r="E58" s="156" t="str">
        <f>E23</f>
        <v>MeteoGroup</v>
      </c>
      <c r="F58" s="156">
        <f t="shared" ref="F58:N58" si="7">F23</f>
        <v>0</v>
      </c>
      <c r="G58" s="156">
        <f t="shared" si="7"/>
        <v>0</v>
      </c>
      <c r="H58" s="156">
        <f t="shared" si="7"/>
        <v>0</v>
      </c>
      <c r="I58" s="156">
        <f t="shared" si="7"/>
        <v>0</v>
      </c>
      <c r="J58" s="156">
        <f t="shared" si="7"/>
        <v>0</v>
      </c>
      <c r="K58" s="156">
        <f t="shared" si="7"/>
        <v>0</v>
      </c>
      <c r="L58" s="156">
        <f t="shared" si="7"/>
        <v>0</v>
      </c>
      <c r="M58" s="156">
        <f t="shared" si="7"/>
        <v>0</v>
      </c>
      <c r="N58" s="156">
        <f t="shared" si="7"/>
        <v>0</v>
      </c>
      <c r="O58" s="185" t="s">
        <v>142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512</v>
      </c>
      <c r="D59" s="188"/>
      <c r="E59" s="156" t="str">
        <f>E24</f>
        <v>March/Breisgau</v>
      </c>
      <c r="F59" s="156">
        <f t="shared" ref="F59:N59" si="8">F24</f>
        <v>0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513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506</v>
      </c>
      <c r="D60" s="188"/>
      <c r="E60" s="160">
        <f>E25</f>
        <v>10802</v>
      </c>
      <c r="F60" s="160">
        <f t="shared" ref="F60:N60" si="9">F25</f>
        <v>0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143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141</v>
      </c>
      <c r="D61" s="188"/>
      <c r="E61" s="158" t="str">
        <f>E26</f>
        <v>Temp. (2m)</v>
      </c>
      <c r="F61" s="158">
        <f t="shared" ref="F61:N61" si="10">F26</f>
        <v>0</v>
      </c>
      <c r="G61" s="158">
        <f t="shared" si="10"/>
        <v>0</v>
      </c>
      <c r="H61" s="158">
        <f t="shared" si="10"/>
        <v>0</v>
      </c>
      <c r="I61" s="158">
        <f t="shared" si="10"/>
        <v>0</v>
      </c>
      <c r="J61" s="158">
        <f t="shared" si="10"/>
        <v>0</v>
      </c>
      <c r="K61" s="158">
        <f t="shared" si="10"/>
        <v>0</v>
      </c>
      <c r="L61" s="158">
        <f t="shared" si="10"/>
        <v>0</v>
      </c>
      <c r="M61" s="158">
        <f t="shared" si="10"/>
        <v>0</v>
      </c>
      <c r="N61" s="158">
        <f t="shared" si="10"/>
        <v>0</v>
      </c>
      <c r="O61" s="185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511</v>
      </c>
      <c r="D63" s="130"/>
      <c r="E63" s="130"/>
      <c r="F63" s="157">
        <f>F29</f>
        <v>5</v>
      </c>
    </row>
    <row r="64" spans="2:28" ht="15" customHeight="1">
      <c r="E64" s="178">
        <f>IF(E65&gt;$F$63,0,1)</f>
        <v>1</v>
      </c>
      <c r="F64" s="178">
        <f t="shared" ref="F64:N64" si="11">IF(F65&gt;$F$63,0,1)</f>
        <v>1</v>
      </c>
      <c r="G64" s="178">
        <f t="shared" si="11"/>
        <v>1</v>
      </c>
      <c r="H64" s="178">
        <f t="shared" si="11"/>
        <v>1</v>
      </c>
      <c r="I64" s="178">
        <f t="shared" si="11"/>
        <v>1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140</v>
      </c>
      <c r="D65" s="180" t="s">
        <v>265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</row>
    <row r="66" spans="2:15">
      <c r="B66" s="183"/>
      <c r="C66" s="184" t="s">
        <v>518</v>
      </c>
      <c r="D66" s="186" t="s">
        <v>264</v>
      </c>
      <c r="E66" s="287">
        <f>1-SUMPRODUCT(F64:N64,F66:N66)</f>
        <v>0.41069999999999995</v>
      </c>
      <c r="F66" s="287">
        <f>ROUND(F67/$D$67,4)</f>
        <v>0.20530000000000001</v>
      </c>
      <c r="G66" s="287">
        <f t="shared" ref="G66:N66" si="12">ROUND(G67/$D$67,4)</f>
        <v>0.1027</v>
      </c>
      <c r="H66" s="287">
        <f t="shared" si="12"/>
        <v>5.1299999999999998E-2</v>
      </c>
      <c r="I66" s="287">
        <f t="shared" si="12"/>
        <v>0.23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525</v>
      </c>
      <c r="D67" s="186">
        <f>SUMPRODUCT(E67:N67,E64:N64)</f>
        <v>1.875</v>
      </c>
      <c r="E67" s="295">
        <f>E33</f>
        <v>0.77</v>
      </c>
      <c r="F67" s="295">
        <f t="shared" ref="F67:N67" si="13">F33</f>
        <v>0.38500000000000001</v>
      </c>
      <c r="G67" s="295">
        <f t="shared" si="13"/>
        <v>0.1925</v>
      </c>
      <c r="H67" s="295">
        <f t="shared" si="13"/>
        <v>9.6250000000000002E-2</v>
      </c>
      <c r="I67" s="295">
        <f t="shared" si="13"/>
        <v>0.43125000000000002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145</v>
      </c>
    </row>
    <row r="68" spans="2:15">
      <c r="B68" s="183"/>
      <c r="C68" s="187" t="s">
        <v>368</v>
      </c>
      <c r="D68" s="153" t="s">
        <v>367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 t="str">
        <f t="shared" si="14"/>
        <v>2009 - 2022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142</v>
      </c>
    </row>
    <row r="69" spans="2:15">
      <c r="B69" s="183"/>
      <c r="C69" s="187" t="s">
        <v>438</v>
      </c>
      <c r="D69" s="153" t="s">
        <v>437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 t="str">
        <f t="shared" si="15"/>
        <v>Gastag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142</v>
      </c>
    </row>
    <row r="70" spans="2:15">
      <c r="B70" s="183"/>
      <c r="C70" s="187" t="s">
        <v>584</v>
      </c>
      <c r="D70" s="153" t="s">
        <v>585</v>
      </c>
      <c r="E70" s="159" t="str">
        <f>E36</f>
        <v>UCT</v>
      </c>
      <c r="F70" s="159" t="str">
        <f t="shared" ref="F70:N70" si="16">F36</f>
        <v>UCT</v>
      </c>
      <c r="G70" s="159" t="str">
        <f t="shared" si="16"/>
        <v>UCT</v>
      </c>
      <c r="H70" s="159" t="str">
        <f t="shared" si="16"/>
        <v>UCT</v>
      </c>
      <c r="I70" s="162" t="str">
        <f t="shared" si="16"/>
        <v>UCT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142</v>
      </c>
    </row>
    <row r="71" spans="2:15">
      <c r="B71" s="183"/>
      <c r="C71" s="192" t="s">
        <v>430</v>
      </c>
      <c r="D71" s="119" t="s">
        <v>530</v>
      </c>
      <c r="E71" s="163" t="s">
        <v>440</v>
      </c>
      <c r="F71" s="163" t="s">
        <v>440</v>
      </c>
      <c r="G71" s="163" t="str">
        <f t="shared" ref="G71:N71" si="17">G37</f>
        <v>Temp.-IST</v>
      </c>
      <c r="H71" s="163" t="str">
        <f t="shared" si="17"/>
        <v>Temp.-IST</v>
      </c>
      <c r="I71" s="163" t="str">
        <f t="shared" si="17"/>
        <v>Temp. hist. Ø (Monat)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142</v>
      </c>
    </row>
    <row r="72" spans="2:15"/>
    <row r="73" spans="2:15" ht="15.75" customHeight="1">
      <c r="C73" s="399" t="s">
        <v>572</v>
      </c>
      <c r="D73" s="399"/>
      <c r="E73" s="399"/>
      <c r="F73" s="399"/>
    </row>
    <row r="74" spans="2:15"/>
    <row r="79" spans="2:15"/>
  </sheetData>
  <mergeCells count="4">
    <mergeCell ref="C13:E13"/>
    <mergeCell ref="C14:D14"/>
    <mergeCell ref="C15:D15"/>
    <mergeCell ref="C73:F73"/>
  </mergeCells>
  <conditionalFormatting sqref="E22:N22 F23:N25">
    <cfRule type="expression" dxfId="106" priority="65">
      <formula>IF(E$20&lt;=$F$18,1,0)</formula>
    </cfRule>
  </conditionalFormatting>
  <conditionalFormatting sqref="E33:F37 J33:N37">
    <cfRule type="expression" dxfId="105" priority="64">
      <formula>IF(E$31&lt;=$F$29,1,0)</formula>
    </cfRule>
  </conditionalFormatting>
  <conditionalFormatting sqref="E26:N26">
    <cfRule type="expression" dxfId="104" priority="63">
      <formula>IF(E$20&lt;=$F$18,1,0)</formula>
    </cfRule>
  </conditionalFormatting>
  <conditionalFormatting sqref="E26:N26">
    <cfRule type="expression" dxfId="103" priority="62">
      <formula>IF(E$20&lt;=$F$18,1,0)</formula>
    </cfRule>
  </conditionalFormatting>
  <conditionalFormatting sqref="E57:N60">
    <cfRule type="expression" dxfId="102" priority="59">
      <formula>IF(E$55&lt;=$F$53,1,0)</formula>
    </cfRule>
  </conditionalFormatting>
  <conditionalFormatting sqref="E61:N61">
    <cfRule type="expression" dxfId="101" priority="58">
      <formula>IF(E$55&lt;=$F$53,1,0)</formula>
    </cfRule>
  </conditionalFormatting>
  <conditionalFormatting sqref="E67:N69">
    <cfRule type="expression" dxfId="100" priority="52">
      <formula>IF(E$65&lt;=$F$63,1,0)</formula>
    </cfRule>
  </conditionalFormatting>
  <conditionalFormatting sqref="E66:N69 E71:N71">
    <cfRule type="expression" dxfId="99" priority="50">
      <formula>IF(E$65&gt;$F$63,1,0)</formula>
    </cfRule>
  </conditionalFormatting>
  <conditionalFormatting sqref="E57:N61">
    <cfRule type="expression" dxfId="98" priority="49">
      <formula>IF(E$55&gt;$F$53,1,0)</formula>
    </cfRule>
  </conditionalFormatting>
  <conditionalFormatting sqref="E21:N22 E26:N26 F23:N25">
    <cfRule type="expression" dxfId="97" priority="48">
      <formula>IF(E$20&gt;$F$18,1,0)</formula>
    </cfRule>
  </conditionalFormatting>
  <conditionalFormatting sqref="E33:F37 J33:N37">
    <cfRule type="expression" dxfId="96" priority="47">
      <formula>IF(E$31&gt;$F$29,1,0)</formula>
    </cfRule>
  </conditionalFormatting>
  <conditionalFormatting sqref="H11 H8:H9">
    <cfRule type="expression" dxfId="95" priority="46">
      <formula>IF($F$9=1,1,0)</formula>
    </cfRule>
  </conditionalFormatting>
  <conditionalFormatting sqref="E56:N56">
    <cfRule type="expression" dxfId="94" priority="45">
      <formula>IF(E$55&gt;$F$53,1,0)</formula>
    </cfRule>
  </conditionalFormatting>
  <conditionalFormatting sqref="E32:F32 J32:N32">
    <cfRule type="expression" dxfId="93" priority="44">
      <formula>IF(E$31&gt;$F$29,1,0)</formula>
    </cfRule>
  </conditionalFormatting>
  <conditionalFormatting sqref="E71:N71">
    <cfRule type="expression" dxfId="92" priority="43">
      <formula>IF(E$65&lt;=$F$63,1,0)</formula>
    </cfRule>
  </conditionalFormatting>
  <conditionalFormatting sqref="H10">
    <cfRule type="expression" dxfId="91" priority="42">
      <formula>IF($F$9=1,1,0)</formula>
    </cfRule>
  </conditionalFormatting>
  <conditionalFormatting sqref="E70:N70">
    <cfRule type="expression" dxfId="90" priority="39">
      <formula>IF(E$65&lt;=$F$63,1,0)</formula>
    </cfRule>
  </conditionalFormatting>
  <conditionalFormatting sqref="E70:N70">
    <cfRule type="expression" dxfId="89" priority="38">
      <formula>IF(E$65&gt;$F$63,1,0)</formula>
    </cfRule>
  </conditionalFormatting>
  <conditionalFormatting sqref="E23:E25">
    <cfRule type="expression" dxfId="88" priority="37">
      <formula>IF(E$20&lt;=$F$18,1,0)</formula>
    </cfRule>
  </conditionalFormatting>
  <conditionalFormatting sqref="E23:E25">
    <cfRule type="expression" dxfId="87" priority="36">
      <formula>IF(E$20&gt;$F$18,1,0)</formula>
    </cfRule>
  </conditionalFormatting>
  <conditionalFormatting sqref="G34:G37">
    <cfRule type="expression" dxfId="86" priority="20">
      <formula>IF(G$31&lt;=$F$29,1,0)</formula>
    </cfRule>
  </conditionalFormatting>
  <conditionalFormatting sqref="G34:G37">
    <cfRule type="expression" dxfId="85" priority="19">
      <formula>IF(G$31&gt;$F$29,1,0)</formula>
    </cfRule>
  </conditionalFormatting>
  <conditionalFormatting sqref="G32">
    <cfRule type="expression" dxfId="84" priority="18">
      <formula>IF(G$31&gt;$F$29,1,0)</formula>
    </cfRule>
  </conditionalFormatting>
  <conditionalFormatting sqref="G33">
    <cfRule type="expression" dxfId="83" priority="17">
      <formula>IF(G$31&lt;=$F$29,1,0)</formula>
    </cfRule>
  </conditionalFormatting>
  <conditionalFormatting sqref="G33">
    <cfRule type="expression" dxfId="82" priority="16">
      <formula>IF(G$31&gt;$F$29,1,0)</formula>
    </cfRule>
  </conditionalFormatting>
  <conditionalFormatting sqref="H34:H37">
    <cfRule type="expression" dxfId="81" priority="15">
      <formula>IF(H$31&lt;=$F$29,1,0)</formula>
    </cfRule>
  </conditionalFormatting>
  <conditionalFormatting sqref="H34:H37">
    <cfRule type="expression" dxfId="80" priority="14">
      <formula>IF(H$31&gt;$F$29,1,0)</formula>
    </cfRule>
  </conditionalFormatting>
  <conditionalFormatting sqref="H32">
    <cfRule type="expression" dxfId="79" priority="13">
      <formula>IF(H$31&gt;$F$29,1,0)</formula>
    </cfRule>
  </conditionalFormatting>
  <conditionalFormatting sqref="H33">
    <cfRule type="expression" dxfId="78" priority="12">
      <formula>IF(H$31&lt;=$F$29,1,0)</formula>
    </cfRule>
  </conditionalFormatting>
  <conditionalFormatting sqref="H33">
    <cfRule type="expression" dxfId="77" priority="11">
      <formula>IF(H$31&gt;$F$29,1,0)</formula>
    </cfRule>
  </conditionalFormatting>
  <conditionalFormatting sqref="I34:I37">
    <cfRule type="expression" dxfId="76" priority="5">
      <formula>IF(I$31&lt;=$F$29,1,0)</formula>
    </cfRule>
  </conditionalFormatting>
  <conditionalFormatting sqref="I34:I37">
    <cfRule type="expression" dxfId="75" priority="4">
      <formula>IF(I$31&gt;$F$29,1,0)</formula>
    </cfRule>
  </conditionalFormatting>
  <conditionalFormatting sqref="I32">
    <cfRule type="expression" dxfId="74" priority="3">
      <formula>IF(I$31&gt;$F$29,1,0)</formula>
    </cfRule>
  </conditionalFormatting>
  <conditionalFormatting sqref="I33">
    <cfRule type="expression" dxfId="73" priority="2">
      <formula>IF(I$31&lt;=$F$29,1,0)</formula>
    </cfRule>
  </conditionalFormatting>
  <conditionalFormatting sqref="I33">
    <cfRule type="expression" dxfId="72" priority="1">
      <formula>IF(I$31&gt;$F$29,1,0)</formula>
    </cfRule>
  </conditionalFormatting>
  <dataValidations count="16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71:N71 E37:H37 J37:N37" xr:uid="{00000000-0002-0000-0300-000001000000}">
      <formula1>$R$37:$S$37</formula1>
    </dataValidation>
    <dataValidation type="list" allowBlank="1" showInputMessage="1" showErrorMessage="1" errorTitle="Prognosezeitraum" error="Werte zwischen 0 - 240h" sqref="E68:N68 E34:H34 J34:N34" xr:uid="{00000000-0002-0000-0300-000003000000}">
      <formula1>$R$34:$AB$34</formula1>
    </dataValidation>
    <dataValidation type="list" allowBlank="1" showInputMessage="1" showErrorMessage="1" sqref="E69:N69 E35:N35" xr:uid="{00000000-0002-0000-0300-000004000000}">
      <formula1>$R$35:$S$35</formula1>
    </dataValidation>
    <dataValidation type="list" allowBlank="1" showInputMessage="1" showErrorMessage="1" sqref="E58:N58 E23:N23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70:N70 E36:N36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  <dataValidation type="list" errorStyle="warning" allowBlank="1" showInputMessage="1" showErrorMessage="1" errorTitle="Prognosezeitraum" error="Werte zwischen 0 - 240h" sqref="I34" xr:uid="{DE84B2F3-9670-4F17-A338-DC8DB11C769B}">
      <formula1>$R$34:$AC$34</formula1>
    </dataValidation>
    <dataValidation type="list" allowBlank="1" showInputMessage="1" showErrorMessage="1" sqref="I37" xr:uid="{6E105843-319D-45F5-AB49-A36AEC68BE9E}">
      <formula1>$R$37:$T$37</formula1>
    </dataValidation>
  </dataValidations>
  <pageMargins left="0.25" right="0.25" top="0.75" bottom="0.75" header="0.3" footer="0.3"/>
  <pageSetup paperSize="9" scale="43" orientation="landscape" r:id="rId1"/>
  <ignoredErrors>
    <ignoredError sqref="E67:N69 E57:N60 E22 F53 F63 G71:N71 E70:N70 J37:N37 J33:N3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14" width="12.6640625" style="128" customWidth="1"/>
    <col min="15" max="15" width="34.109375" style="128" customWidth="1"/>
    <col min="16" max="16" width="7.33203125" style="170" customWidth="1"/>
    <col min="17" max="18" width="7.33203125" style="209" hidden="1" customWidth="1"/>
    <col min="19" max="19" width="13.44140625" style="209" hidden="1" customWidth="1"/>
    <col min="20" max="20" width="23.5546875" style="209" hidden="1" customWidth="1"/>
    <col min="21" max="21" width="5.44140625" style="209" hidden="1" customWidth="1"/>
    <col min="22" max="22" width="5" style="209" hidden="1" customWidth="1"/>
    <col min="23" max="23" width="5.33203125" style="209" hidden="1" customWidth="1"/>
    <col min="24" max="24" width="5" style="209" hidden="1" customWidth="1"/>
    <col min="25" max="25" width="8.109375" style="209" hidden="1" customWidth="1"/>
    <col min="26" max="26" width="11.6640625" style="209" hidden="1" customWidth="1"/>
    <col min="27" max="27" width="8.88671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4140625" style="56" hidden="1" customWidth="1"/>
    <col min="38" max="38" width="4" style="56" hidden="1" customWidth="1"/>
    <col min="39" max="47" width="4.44140625" style="56" hidden="1" customWidth="1"/>
    <col min="48" max="48" width="4" style="56" hidden="1" customWidth="1"/>
    <col min="49" max="16383" width="22.5546875" style="56" hidden="1"/>
    <col min="16384" max="16384" width="1" style="56" hidden="1" customWidth="1"/>
  </cols>
  <sheetData>
    <row r="1" spans="1:56" ht="75" customHeight="1"/>
    <row r="2" spans="1:56" ht="23.4">
      <c r="B2" s="171" t="s">
        <v>536</v>
      </c>
    </row>
    <row r="3" spans="1:56" ht="15" customHeight="1">
      <c r="B3" s="171"/>
    </row>
    <row r="4" spans="1:56" ht="14.4">
      <c r="B4" s="130"/>
      <c r="C4" s="55" t="s">
        <v>432</v>
      </c>
      <c r="D4" s="56"/>
      <c r="E4" s="57" t="s">
        <v>474</v>
      </c>
      <c r="F4" s="130"/>
      <c r="M4" s="130"/>
      <c r="N4" s="130"/>
      <c r="O4" s="130"/>
    </row>
    <row r="5" spans="1:56" ht="14.4">
      <c r="B5" s="130"/>
      <c r="C5" s="55" t="s">
        <v>431</v>
      </c>
      <c r="D5" s="56"/>
      <c r="E5" s="57" t="str">
        <f>Netzbetreiber!D28</f>
        <v>badenovaNETZE</v>
      </c>
      <c r="F5" s="130"/>
      <c r="G5" s="130"/>
      <c r="H5" s="130"/>
      <c r="M5" s="130"/>
      <c r="N5" s="130"/>
      <c r="O5" s="130"/>
    </row>
    <row r="6" spans="1:56" ht="14.4">
      <c r="B6" s="130"/>
      <c r="C6" s="59" t="s">
        <v>475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 ht="14.4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 ht="14.4">
      <c r="B8" s="130"/>
      <c r="C8" s="130"/>
      <c r="D8" s="130"/>
      <c r="E8" s="130"/>
      <c r="F8" s="130"/>
      <c r="G8" s="130"/>
      <c r="H8" s="88" t="s">
        <v>486</v>
      </c>
      <c r="J8" s="130"/>
      <c r="K8" s="130"/>
      <c r="L8" s="130"/>
      <c r="M8" s="130"/>
      <c r="N8" s="130"/>
      <c r="O8" s="130"/>
    </row>
    <row r="9" spans="1:56" ht="14.4">
      <c r="B9" s="130"/>
      <c r="C9" s="59" t="s">
        <v>514</v>
      </c>
      <c r="D9" s="130"/>
      <c r="E9" s="130"/>
      <c r="F9" s="154">
        <f>'SLP-Verfahren'!D43</f>
        <v>2</v>
      </c>
      <c r="H9" s="172" t="s">
        <v>580</v>
      </c>
      <c r="J9" s="130"/>
      <c r="K9" s="130"/>
      <c r="L9" s="130"/>
      <c r="M9" s="130"/>
      <c r="N9" s="130"/>
      <c r="O9" s="130"/>
    </row>
    <row r="10" spans="1:56" ht="14.4">
      <c r="B10" s="130"/>
      <c r="C10" s="55" t="s">
        <v>577</v>
      </c>
      <c r="D10" s="130"/>
      <c r="E10" s="130"/>
      <c r="F10" s="299">
        <v>2</v>
      </c>
      <c r="G10" s="56"/>
      <c r="H10" s="172" t="s">
        <v>581</v>
      </c>
      <c r="J10" s="130"/>
      <c r="K10" s="130"/>
      <c r="L10" s="130"/>
      <c r="M10" s="130"/>
      <c r="N10" s="130"/>
      <c r="O10" s="130"/>
    </row>
    <row r="11" spans="1:56" ht="14.4">
      <c r="B11" s="130"/>
      <c r="C11" s="55" t="s">
        <v>582</v>
      </c>
      <c r="D11" s="130"/>
      <c r="E11" s="130"/>
      <c r="F11" s="296" t="str">
        <f>INDEX('SLP-Verfahren'!D45:D46,'SLP-Temp-Gebiet #02'!F10)</f>
        <v>Tuttlingen</v>
      </c>
      <c r="G11" s="300"/>
      <c r="H11" s="298"/>
      <c r="J11" s="130"/>
      <c r="K11" s="130"/>
      <c r="L11" s="130"/>
      <c r="M11" s="130"/>
      <c r="N11" s="130"/>
      <c r="O11" s="130"/>
    </row>
    <row r="12" spans="1:56" ht="14.4"/>
    <row r="13" spans="1:56" ht="18" customHeight="1">
      <c r="B13" s="130"/>
      <c r="C13" s="397" t="s">
        <v>576</v>
      </c>
      <c r="D13" s="397"/>
      <c r="E13" s="397"/>
      <c r="F13" s="183" t="s">
        <v>540</v>
      </c>
      <c r="G13" s="130" t="s">
        <v>538</v>
      </c>
      <c r="H13" s="265" t="s">
        <v>555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98" t="s">
        <v>435</v>
      </c>
      <c r="D14" s="398"/>
      <c r="E14" s="89" t="s">
        <v>436</v>
      </c>
      <c r="F14" s="266" t="s">
        <v>85</v>
      </c>
      <c r="G14" s="267" t="s">
        <v>564</v>
      </c>
      <c r="H14" s="50">
        <v>0</v>
      </c>
      <c r="I14" s="56"/>
      <c r="J14" s="130"/>
      <c r="K14" s="130"/>
      <c r="L14" s="130"/>
      <c r="M14" s="130"/>
      <c r="N14" s="130"/>
      <c r="O14" s="173" t="s">
        <v>519</v>
      </c>
      <c r="R14" s="209" t="s">
        <v>556</v>
      </c>
      <c r="S14" s="209" t="s">
        <v>557</v>
      </c>
      <c r="T14" s="209" t="s">
        <v>558</v>
      </c>
      <c r="U14" s="209" t="s">
        <v>559</v>
      </c>
      <c r="V14" s="209" t="s">
        <v>539</v>
      </c>
      <c r="W14" s="209" t="s">
        <v>560</v>
      </c>
      <c r="X14" s="209" t="s">
        <v>561</v>
      </c>
      <c r="Y14" s="209" t="s">
        <v>562</v>
      </c>
      <c r="Z14" s="209" t="s">
        <v>563</v>
      </c>
      <c r="AA14" s="209" t="s">
        <v>564</v>
      </c>
      <c r="AB14" s="209" t="s">
        <v>565</v>
      </c>
      <c r="AC14" s="209" t="s">
        <v>566</v>
      </c>
    </row>
    <row r="15" spans="1:56" ht="19.5" customHeight="1">
      <c r="B15" s="130"/>
      <c r="C15" s="398" t="s">
        <v>394</v>
      </c>
      <c r="D15" s="398"/>
      <c r="E15" s="89" t="s">
        <v>436</v>
      </c>
      <c r="F15" s="266" t="s">
        <v>71</v>
      </c>
      <c r="G15" s="267" t="s">
        <v>558</v>
      </c>
      <c r="H15" s="50">
        <v>0</v>
      </c>
      <c r="I15" s="56"/>
      <c r="J15" s="130"/>
      <c r="K15" s="130"/>
      <c r="L15" s="130"/>
      <c r="M15" s="130"/>
      <c r="N15" s="130"/>
      <c r="O15" s="161" t="s">
        <v>520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377</v>
      </c>
      <c r="AH15" s="264" t="s">
        <v>481</v>
      </c>
      <c r="AI15" s="264" t="s">
        <v>541</v>
      </c>
      <c r="AJ15" s="264" t="s">
        <v>542</v>
      </c>
      <c r="AK15" s="264" t="s">
        <v>543</v>
      </c>
      <c r="AL15" s="264" t="s">
        <v>544</v>
      </c>
      <c r="AM15" s="264" t="s">
        <v>545</v>
      </c>
      <c r="AN15" s="264" t="s">
        <v>546</v>
      </c>
      <c r="AO15" s="264" t="s">
        <v>547</v>
      </c>
      <c r="AP15" s="264" t="s">
        <v>548</v>
      </c>
      <c r="AQ15" s="264" t="s">
        <v>549</v>
      </c>
      <c r="AR15" s="264" t="s">
        <v>550</v>
      </c>
      <c r="AS15" s="264" t="s">
        <v>551</v>
      </c>
      <c r="AT15" s="264" t="s">
        <v>552</v>
      </c>
      <c r="AU15" s="264" t="s">
        <v>553</v>
      </c>
      <c r="AV15" s="264" t="s">
        <v>554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509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 ht="14.4">
      <c r="B18" s="130"/>
      <c r="C18" s="55" t="s">
        <v>515</v>
      </c>
      <c r="D18" s="130"/>
      <c r="E18" s="130"/>
      <c r="F18" s="48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510</v>
      </c>
      <c r="D20" s="180" t="s">
        <v>505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4">
      <c r="B21" s="183"/>
      <c r="C21" s="184" t="s">
        <v>517</v>
      </c>
      <c r="D21" s="153" t="s">
        <v>507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4">
      <c r="B22" s="183"/>
      <c r="C22" s="184" t="s">
        <v>529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4">
      <c r="B23" s="183"/>
      <c r="C23" s="187" t="s">
        <v>137</v>
      </c>
      <c r="D23" s="188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5" t="s">
        <v>142</v>
      </c>
      <c r="Q23" s="211"/>
      <c r="R23" s="67" t="s">
        <v>139</v>
      </c>
      <c r="S23" s="67" t="s">
        <v>493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4">
      <c r="B24" s="183"/>
      <c r="C24" s="187" t="s">
        <v>512</v>
      </c>
      <c r="D24" s="188"/>
      <c r="E24" s="156" t="s">
        <v>573</v>
      </c>
      <c r="F24" s="156" t="s">
        <v>574</v>
      </c>
      <c r="G24" s="156"/>
      <c r="H24" s="156"/>
      <c r="I24" s="156"/>
      <c r="J24" s="156"/>
      <c r="K24" s="156"/>
      <c r="L24" s="156"/>
      <c r="M24" s="156"/>
      <c r="N24" s="156"/>
      <c r="O24" s="185" t="s">
        <v>513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4">
      <c r="B25" s="183"/>
      <c r="C25" s="187" t="s">
        <v>506</v>
      </c>
      <c r="D25" s="188"/>
      <c r="E25" s="160" t="s">
        <v>370</v>
      </c>
      <c r="F25" s="160" t="s">
        <v>370</v>
      </c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4">
      <c r="B26" s="183"/>
      <c r="C26" s="187" t="s">
        <v>141</v>
      </c>
      <c r="D26" s="188"/>
      <c r="E26" s="156" t="s">
        <v>494</v>
      </c>
      <c r="F26" s="156" t="s">
        <v>494</v>
      </c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67" t="s">
        <v>494</v>
      </c>
      <c r="S26" s="67" t="s">
        <v>495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4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4">
      <c r="B28" s="130"/>
      <c r="C28" s="55" t="s">
        <v>511</v>
      </c>
      <c r="D28" s="130"/>
      <c r="E28" s="130"/>
      <c r="F28" s="48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4">
      <c r="B30" s="183"/>
      <c r="C30" s="179" t="s">
        <v>140</v>
      </c>
      <c r="D30" s="180" t="s">
        <v>265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144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4">
      <c r="B31" s="183"/>
      <c r="C31" s="184" t="s">
        <v>518</v>
      </c>
      <c r="D31" s="186" t="s">
        <v>264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4">
      <c r="B32" s="183"/>
      <c r="C32" s="184" t="s">
        <v>525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145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3"/>
      <c r="C33" s="187" t="s">
        <v>368</v>
      </c>
      <c r="D33" s="153" t="s">
        <v>367</v>
      </c>
      <c r="E33" s="156" t="s">
        <v>3</v>
      </c>
      <c r="F33" s="156" t="s">
        <v>366</v>
      </c>
      <c r="G33" s="156" t="s">
        <v>357</v>
      </c>
      <c r="H33" s="156" t="s">
        <v>358</v>
      </c>
      <c r="I33" s="156"/>
      <c r="J33" s="156"/>
      <c r="K33" s="156"/>
      <c r="L33" s="156"/>
      <c r="M33" s="156"/>
      <c r="N33" s="156"/>
      <c r="O33" s="185" t="s">
        <v>142</v>
      </c>
      <c r="Q33" s="211"/>
      <c r="R33" s="67" t="s">
        <v>3</v>
      </c>
      <c r="S33" s="67" t="s">
        <v>366</v>
      </c>
      <c r="T33" s="67" t="s">
        <v>357</v>
      </c>
      <c r="U33" s="67" t="s">
        <v>358</v>
      </c>
      <c r="V33" s="67" t="s">
        <v>359</v>
      </c>
      <c r="W33" s="67" t="s">
        <v>360</v>
      </c>
      <c r="X33" s="67" t="s">
        <v>361</v>
      </c>
      <c r="Y33" s="67" t="s">
        <v>362</v>
      </c>
      <c r="Z33" s="67" t="s">
        <v>363</v>
      </c>
      <c r="AA33" s="67" t="s">
        <v>364</v>
      </c>
      <c r="AB33" s="67" t="s">
        <v>365</v>
      </c>
    </row>
    <row r="34" spans="2:28" ht="14.4">
      <c r="B34" s="183"/>
      <c r="C34" s="187" t="s">
        <v>438</v>
      </c>
      <c r="D34" s="153" t="s">
        <v>437</v>
      </c>
      <c r="E34" s="156" t="s">
        <v>503</v>
      </c>
      <c r="F34" s="156" t="s">
        <v>503</v>
      </c>
      <c r="G34" s="156" t="s">
        <v>503</v>
      </c>
      <c r="H34" s="156" t="s">
        <v>503</v>
      </c>
      <c r="I34" s="162"/>
      <c r="J34" s="162"/>
      <c r="K34" s="162"/>
      <c r="L34" s="162"/>
      <c r="M34" s="162"/>
      <c r="N34" s="162"/>
      <c r="O34" s="185" t="s">
        <v>142</v>
      </c>
      <c r="Q34" s="211"/>
      <c r="R34" s="67" t="s">
        <v>503</v>
      </c>
      <c r="S34" s="67" t="s">
        <v>504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4">
      <c r="B35" s="183"/>
      <c r="C35" s="187" t="s">
        <v>584</v>
      </c>
      <c r="D35" s="153" t="s">
        <v>585</v>
      </c>
      <c r="E35" s="156" t="s">
        <v>583</v>
      </c>
      <c r="F35" s="156" t="s">
        <v>583</v>
      </c>
      <c r="G35" s="156" t="s">
        <v>583</v>
      </c>
      <c r="H35" s="156" t="s">
        <v>583</v>
      </c>
      <c r="I35" s="156" t="s">
        <v>583</v>
      </c>
      <c r="J35" s="156" t="s">
        <v>583</v>
      </c>
      <c r="K35" s="156" t="s">
        <v>583</v>
      </c>
      <c r="L35" s="156" t="s">
        <v>583</v>
      </c>
      <c r="M35" s="156" t="s">
        <v>583</v>
      </c>
      <c r="N35" s="156" t="s">
        <v>583</v>
      </c>
      <c r="O35" s="185" t="s">
        <v>142</v>
      </c>
      <c r="Q35" s="211"/>
      <c r="R35" s="67" t="s">
        <v>583</v>
      </c>
      <c r="S35" s="67" t="s">
        <v>586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3"/>
      <c r="C36" s="192" t="s">
        <v>430</v>
      </c>
      <c r="D36" s="119" t="s">
        <v>530</v>
      </c>
      <c r="E36" s="162" t="s">
        <v>439</v>
      </c>
      <c r="F36" s="162" t="s">
        <v>439</v>
      </c>
      <c r="G36" s="162" t="s">
        <v>440</v>
      </c>
      <c r="H36" s="162" t="s">
        <v>440</v>
      </c>
      <c r="I36" s="162"/>
      <c r="J36" s="162"/>
      <c r="K36" s="162"/>
      <c r="L36" s="162"/>
      <c r="M36" s="162"/>
      <c r="N36" s="162"/>
      <c r="O36" s="185" t="s">
        <v>142</v>
      </c>
      <c r="Q36" s="211"/>
      <c r="R36" s="67" t="s">
        <v>440</v>
      </c>
      <c r="S36" s="67" t="s">
        <v>439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4">
      <c r="B38" s="193"/>
      <c r="C38" s="194" t="s">
        <v>276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5.6">
      <c r="B39" s="193"/>
      <c r="C39" s="197" t="s">
        <v>356</v>
      </c>
      <c r="D39" s="198"/>
      <c r="E39" s="198" t="s">
        <v>523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 ht="14.4">
      <c r="B40" s="193"/>
      <c r="C40" s="197"/>
      <c r="D40" s="198"/>
      <c r="E40" s="198" t="s">
        <v>524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 ht="14.4">
      <c r="B41" s="193"/>
      <c r="C41" s="197"/>
      <c r="D41" s="198"/>
      <c r="E41" s="198" t="s">
        <v>516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 ht="14.4">
      <c r="B42" s="193"/>
      <c r="C42" s="200"/>
      <c r="D42" s="198"/>
      <c r="E42" s="198" t="s">
        <v>521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 ht="14.4">
      <c r="B43" s="193"/>
      <c r="C43" s="200"/>
      <c r="D43" s="198"/>
      <c r="E43" s="198" t="s">
        <v>522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 ht="14.4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 ht="14.4">
      <c r="B45" s="193"/>
      <c r="C45" s="197" t="s">
        <v>527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 ht="14.4">
      <c r="B46" s="193"/>
      <c r="C46" s="200" t="s">
        <v>528</v>
      </c>
      <c r="D46" s="201" t="s">
        <v>526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369</v>
      </c>
      <c r="K46" s="198"/>
      <c r="L46" s="198"/>
      <c r="M46" s="198"/>
      <c r="N46" s="198"/>
      <c r="O46" s="199"/>
    </row>
    <row r="47" spans="2:28" ht="14.4">
      <c r="B47" s="193"/>
      <c r="C47" s="200" t="s">
        <v>355</v>
      </c>
      <c r="D47" s="201" t="s">
        <v>526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369</v>
      </c>
      <c r="K47" s="198"/>
      <c r="L47" s="198"/>
      <c r="M47" s="198"/>
      <c r="N47" s="198"/>
      <c r="O47" s="199"/>
    </row>
    <row r="48" spans="2:28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 ht="14.4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">
      <c r="B50" s="176" t="s">
        <v>571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4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 ht="14.4">
      <c r="B52" s="130"/>
      <c r="C52" s="55" t="s">
        <v>535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510</v>
      </c>
      <c r="D54" s="180" t="s">
        <v>505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144</v>
      </c>
      <c r="W54" s="67"/>
      <c r="X54" s="67"/>
      <c r="Y54" s="67"/>
      <c r="Z54" s="67"/>
      <c r="AA54" s="67"/>
      <c r="AB54" s="67"/>
    </row>
    <row r="55" spans="2:28" ht="14.4">
      <c r="B55" s="183"/>
      <c r="C55" s="184" t="s">
        <v>517</v>
      </c>
      <c r="D55" s="153" t="s">
        <v>507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 ht="14.4">
      <c r="B56" s="183"/>
      <c r="C56" s="184" t="s">
        <v>529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145</v>
      </c>
      <c r="W56" s="67"/>
      <c r="X56" s="67"/>
      <c r="Y56" s="67"/>
      <c r="Z56" s="67"/>
      <c r="AA56" s="67"/>
      <c r="AB56" s="67"/>
    </row>
    <row r="57" spans="2:28" ht="14.4">
      <c r="B57" s="183"/>
      <c r="C57" s="187" t="s">
        <v>137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142</v>
      </c>
      <c r="W57" s="67"/>
      <c r="X57" s="67"/>
      <c r="Y57" s="67"/>
      <c r="Z57" s="67"/>
      <c r="AA57" s="67"/>
      <c r="AB57" s="67"/>
    </row>
    <row r="58" spans="2:28" ht="14.4">
      <c r="B58" s="183"/>
      <c r="C58" s="187" t="s">
        <v>512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513</v>
      </c>
      <c r="W58" s="67"/>
      <c r="X58" s="67"/>
      <c r="Y58" s="67"/>
      <c r="Z58" s="67"/>
      <c r="AA58" s="67"/>
      <c r="AB58" s="67"/>
    </row>
    <row r="59" spans="2:28" ht="14.4">
      <c r="B59" s="183"/>
      <c r="C59" s="187" t="s">
        <v>506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143</v>
      </c>
      <c r="W59" s="67"/>
      <c r="X59" s="67"/>
      <c r="Y59" s="67"/>
      <c r="Z59" s="67"/>
      <c r="AA59" s="67"/>
      <c r="AB59" s="67"/>
    </row>
    <row r="60" spans="2:28" ht="14.4">
      <c r="B60" s="183"/>
      <c r="C60" s="187" t="s">
        <v>141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 ht="14.4"/>
    <row r="62" spans="2:28" ht="14.4">
      <c r="C62" s="55" t="s">
        <v>511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140</v>
      </c>
      <c r="D64" s="180" t="s">
        <v>265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144</v>
      </c>
    </row>
    <row r="65" spans="2:15" ht="14.4">
      <c r="B65" s="183"/>
      <c r="C65" s="184" t="s">
        <v>518</v>
      </c>
      <c r="D65" s="186" t="s">
        <v>264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 ht="14.4">
      <c r="B66" s="183"/>
      <c r="C66" s="184" t="s">
        <v>525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145</v>
      </c>
    </row>
    <row r="67" spans="2:15" ht="14.4">
      <c r="B67" s="183"/>
      <c r="C67" s="187" t="s">
        <v>368</v>
      </c>
      <c r="D67" s="153" t="s">
        <v>367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142</v>
      </c>
    </row>
    <row r="68" spans="2:15" ht="14.4">
      <c r="B68" s="183"/>
      <c r="C68" s="187" t="s">
        <v>438</v>
      </c>
      <c r="D68" s="153" t="s">
        <v>437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142</v>
      </c>
    </row>
    <row r="69" spans="2:15" ht="14.4">
      <c r="B69" s="183"/>
      <c r="C69" s="187" t="s">
        <v>584</v>
      </c>
      <c r="D69" s="153" t="s">
        <v>585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142</v>
      </c>
    </row>
    <row r="70" spans="2:15" ht="14.4">
      <c r="B70" s="183"/>
      <c r="C70" s="192" t="s">
        <v>430</v>
      </c>
      <c r="D70" s="119" t="s">
        <v>530</v>
      </c>
      <c r="E70" s="163" t="s">
        <v>440</v>
      </c>
      <c r="F70" s="163" t="s">
        <v>440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142</v>
      </c>
    </row>
    <row r="71" spans="2:15" ht="14.4"/>
    <row r="72" spans="2:15" ht="15.75" customHeight="1">
      <c r="C72" s="399" t="s">
        <v>572</v>
      </c>
      <c r="D72" s="399"/>
      <c r="E72" s="399"/>
      <c r="F72" s="399"/>
    </row>
    <row r="73" spans="2:15" ht="14.4"/>
    <row r="74" spans="2:15" ht="14.4" hidden="1"/>
    <row r="75" spans="2:15" ht="14.4" hidden="1"/>
    <row r="76" spans="2:15" ht="14.4" hidden="1"/>
    <row r="77" spans="2:15" ht="14.4" hidden="1"/>
    <row r="78" spans="2:15" ht="14.4"/>
  </sheetData>
  <mergeCells count="4">
    <mergeCell ref="C13:E13"/>
    <mergeCell ref="C14:D14"/>
    <mergeCell ref="C15:D15"/>
    <mergeCell ref="C72:F72"/>
  </mergeCells>
  <conditionalFormatting sqref="E22:N25">
    <cfRule type="expression" dxfId="71" priority="18">
      <formula>IF(E$20&lt;=$F$18,1,0)</formula>
    </cfRule>
  </conditionalFormatting>
  <conditionalFormatting sqref="E32:N36">
    <cfRule type="expression" dxfId="70" priority="17">
      <formula>IF(E$30&lt;=$F$28,1,0)</formula>
    </cfRule>
  </conditionalFormatting>
  <conditionalFormatting sqref="E26:F26">
    <cfRule type="expression" dxfId="69" priority="16">
      <formula>IF(E$20&lt;=$F$18,1,0)</formula>
    </cfRule>
  </conditionalFormatting>
  <conditionalFormatting sqref="E26:N26">
    <cfRule type="expression" dxfId="68" priority="15">
      <formula>IF(E$20&lt;=$F$18,1,0)</formula>
    </cfRule>
  </conditionalFormatting>
  <conditionalFormatting sqref="E56:N59">
    <cfRule type="expression" dxfId="67" priority="14">
      <formula>IF(E$54&lt;=$F$52,1,0)</formula>
    </cfRule>
  </conditionalFormatting>
  <conditionalFormatting sqref="E60:N60">
    <cfRule type="expression" dxfId="66" priority="13">
      <formula>IF(E$54&lt;=$F$52,1,0)</formula>
    </cfRule>
  </conditionalFormatting>
  <conditionalFormatting sqref="E66:N68">
    <cfRule type="expression" dxfId="65" priority="12">
      <formula>IF(E$64&lt;=$F$62,1,0)</formula>
    </cfRule>
  </conditionalFormatting>
  <conditionalFormatting sqref="E65:N68 E70:N70">
    <cfRule type="expression" dxfId="64" priority="11">
      <formula>IF(E$64&gt;$F$62,1,0)</formula>
    </cfRule>
  </conditionalFormatting>
  <conditionalFormatting sqref="E56:N60">
    <cfRule type="expression" dxfId="63" priority="10">
      <formula>IF(E$54&gt;$F$52,1,0)</formula>
    </cfRule>
  </conditionalFormatting>
  <conditionalFormatting sqref="E21:N26">
    <cfRule type="expression" dxfId="62" priority="9">
      <formula>IF(E$20&gt;$F$18,1,0)</formula>
    </cfRule>
  </conditionalFormatting>
  <conditionalFormatting sqref="E32:N36">
    <cfRule type="expression" dxfId="61" priority="8">
      <formula>IF(E$30&gt;$F$28,1,0)</formula>
    </cfRule>
  </conditionalFormatting>
  <conditionalFormatting sqref="H11 H8:H9">
    <cfRule type="expression" dxfId="60" priority="7">
      <formula>IF($F$9=1,1,0)</formula>
    </cfRule>
  </conditionalFormatting>
  <conditionalFormatting sqref="E55:N55">
    <cfRule type="expression" dxfId="59" priority="6">
      <formula>IF(E$54&gt;$F$52,1,0)</formula>
    </cfRule>
  </conditionalFormatting>
  <conditionalFormatting sqref="E31:N31">
    <cfRule type="expression" dxfId="58" priority="5">
      <formula>IF(E$30&gt;$F$28,1,0)</formula>
    </cfRule>
  </conditionalFormatting>
  <conditionalFormatting sqref="E70:N70">
    <cfRule type="expression" dxfId="57" priority="4">
      <formula>IF(E$64&lt;=$F$62,1,0)</formula>
    </cfRule>
  </conditionalFormatting>
  <conditionalFormatting sqref="H10">
    <cfRule type="expression" dxfId="56" priority="3">
      <formula>IF($F$9=1,1,0)</formula>
    </cfRule>
  </conditionalFormatting>
  <conditionalFormatting sqref="E69:N69">
    <cfRule type="expression" dxfId="55" priority="2">
      <formula>IF(E$64&lt;=$F$62,1,0)</formula>
    </cfRule>
  </conditionalFormatting>
  <conditionalFormatting sqref="E69:N69">
    <cfRule type="expression" dxfId="54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D5669-510A-4BE3-AD5F-6463F020924C}">
  <sheetPr>
    <tabColor rgb="FFFF0000"/>
    <pageSetUpPr fitToPage="1"/>
  </sheetPr>
  <dimension ref="A1:BF79"/>
  <sheetViews>
    <sheetView showGridLines="0" zoomScale="85" zoomScaleNormal="85" workbookViewId="0">
      <selection activeCell="F11" sqref="F11"/>
    </sheetView>
  </sheetViews>
  <sheetFormatPr baseColWidth="10" defaultColWidth="1" defaultRowHeight="15" customHeight="1" zeroHeight="1"/>
  <cols>
    <col min="1" max="1" width="2.88671875" style="128" customWidth="1"/>
    <col min="2" max="2" width="5.44140625" style="128" customWidth="1"/>
    <col min="3" max="3" width="37.5546875" style="128" customWidth="1"/>
    <col min="4" max="4" width="12.5546875" style="128" customWidth="1"/>
    <col min="5" max="5" width="16.88671875" style="128" customWidth="1"/>
    <col min="6" max="6" width="13.44140625" style="128" customWidth="1"/>
    <col min="7" max="7" width="11.109375" style="128" bestFit="1" customWidth="1"/>
    <col min="8" max="8" width="11.44140625" style="128" customWidth="1"/>
    <col min="9" max="9" width="21.88671875" style="128" customWidth="1"/>
    <col min="10" max="14" width="8.88671875" style="128" customWidth="1"/>
    <col min="15" max="15" width="37.44140625" style="128" customWidth="1"/>
    <col min="16" max="16" width="7.33203125" style="170" customWidth="1"/>
    <col min="17" max="18" width="7.33203125" style="209" hidden="1" customWidth="1"/>
    <col min="19" max="19" width="13.44140625" style="209" hidden="1" customWidth="1"/>
    <col min="20" max="20" width="23.5546875" style="209" hidden="1" customWidth="1"/>
    <col min="21" max="21" width="5.44140625" style="209" hidden="1" customWidth="1"/>
    <col min="22" max="22" width="5" style="209" hidden="1" customWidth="1"/>
    <col min="23" max="23" width="5.33203125" style="209" hidden="1" customWidth="1"/>
    <col min="24" max="24" width="5" style="209" hidden="1" customWidth="1"/>
    <col min="25" max="25" width="8.109375" style="209" hidden="1" customWidth="1"/>
    <col min="26" max="26" width="11.6640625" style="209" hidden="1" customWidth="1"/>
    <col min="27" max="27" width="8.88671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4140625" style="56" hidden="1" customWidth="1"/>
    <col min="38" max="38" width="4" style="56" hidden="1" customWidth="1"/>
    <col min="39" max="47" width="4.44140625" style="56" hidden="1" customWidth="1"/>
    <col min="48" max="48" width="4" style="56" hidden="1" customWidth="1"/>
    <col min="49" max="58" width="1" style="56" hidden="1" customWidth="1"/>
    <col min="59" max="126" width="1" style="56" customWidth="1"/>
    <col min="127" max="16384" width="1" style="56"/>
  </cols>
  <sheetData>
    <row r="1" spans="2:56" ht="75" customHeight="1"/>
    <row r="2" spans="2:56" ht="23.4">
      <c r="B2" s="171" t="s">
        <v>536</v>
      </c>
    </row>
    <row r="3" spans="2:56" ht="15" customHeight="1">
      <c r="B3" s="171"/>
    </row>
    <row r="4" spans="2:56" ht="14.4">
      <c r="B4" s="130"/>
      <c r="C4" s="55" t="s">
        <v>432</v>
      </c>
      <c r="D4" s="56"/>
      <c r="E4" s="57" t="s">
        <v>636</v>
      </c>
      <c r="F4" s="130"/>
      <c r="M4" s="130"/>
      <c r="N4" s="130"/>
      <c r="O4" s="130"/>
    </row>
    <row r="5" spans="2:56" ht="14.4">
      <c r="B5" s="130"/>
      <c r="C5" s="55" t="s">
        <v>431</v>
      </c>
      <c r="D5" s="56"/>
      <c r="E5" s="57" t="str">
        <f>Netzbetreiber!D28</f>
        <v>badenovaNETZE</v>
      </c>
      <c r="F5" s="130"/>
      <c r="G5" s="130"/>
      <c r="H5" s="130"/>
      <c r="M5" s="130"/>
      <c r="N5" s="130"/>
      <c r="O5" s="130"/>
    </row>
    <row r="6" spans="2:56" ht="14.4">
      <c r="B6" s="130"/>
      <c r="C6" s="59" t="s">
        <v>475</v>
      </c>
      <c r="D6" s="56"/>
      <c r="E6" s="60" t="s">
        <v>637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4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2:56" ht="14.4">
      <c r="B8" s="130"/>
      <c r="C8" s="130"/>
      <c r="D8" s="130"/>
      <c r="E8" s="130"/>
      <c r="F8" s="130"/>
      <c r="G8" s="130"/>
      <c r="H8" s="88" t="s">
        <v>486</v>
      </c>
      <c r="J8" s="130"/>
      <c r="K8" s="130"/>
      <c r="L8" s="130"/>
      <c r="M8" s="130"/>
      <c r="N8" s="130"/>
      <c r="O8" s="130"/>
    </row>
    <row r="9" spans="2:56" ht="14.4">
      <c r="B9" s="130"/>
      <c r="C9" s="59" t="s">
        <v>514</v>
      </c>
      <c r="D9" s="130"/>
      <c r="E9" s="130"/>
      <c r="F9" s="154">
        <f>'SLP-Verfahren'!D43</f>
        <v>2</v>
      </c>
      <c r="H9" s="172" t="s">
        <v>580</v>
      </c>
      <c r="J9" s="130"/>
      <c r="K9" s="130"/>
      <c r="L9" s="130"/>
      <c r="M9" s="130"/>
      <c r="N9" s="130"/>
      <c r="O9" s="130"/>
    </row>
    <row r="10" spans="2:56" ht="14.4">
      <c r="B10" s="130"/>
      <c r="C10" s="55" t="s">
        <v>577</v>
      </c>
      <c r="D10" s="130"/>
      <c r="E10" s="130"/>
      <c r="F10" s="299">
        <v>1</v>
      </c>
      <c r="G10" s="56"/>
      <c r="H10" s="172" t="s">
        <v>581</v>
      </c>
      <c r="J10" s="130"/>
      <c r="K10" s="130"/>
      <c r="L10" s="130"/>
      <c r="M10" s="130"/>
      <c r="N10" s="130"/>
      <c r="O10" s="130"/>
    </row>
    <row r="11" spans="2:56" ht="14.4">
      <c r="B11" s="130"/>
      <c r="C11" s="55" t="s">
        <v>582</v>
      </c>
      <c r="D11" s="130"/>
      <c r="E11" s="130"/>
      <c r="F11" s="354" t="s">
        <v>652</v>
      </c>
      <c r="G11" s="300"/>
      <c r="H11" s="298"/>
      <c r="J11" s="130"/>
      <c r="K11" s="130"/>
      <c r="L11" s="130"/>
      <c r="M11" s="130"/>
      <c r="N11" s="130"/>
      <c r="O11" s="130"/>
    </row>
    <row r="12" spans="2:56" ht="14.4"/>
    <row r="13" spans="2:56" ht="18" customHeight="1">
      <c r="B13" s="130"/>
      <c r="C13" s="397" t="s">
        <v>576</v>
      </c>
      <c r="D13" s="397"/>
      <c r="E13" s="397"/>
      <c r="F13" s="183" t="s">
        <v>540</v>
      </c>
      <c r="G13" s="130" t="s">
        <v>538</v>
      </c>
      <c r="H13" s="265" t="s">
        <v>555</v>
      </c>
      <c r="I13" s="56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98" t="s">
        <v>435</v>
      </c>
      <c r="D14" s="398"/>
      <c r="E14" s="89" t="s">
        <v>436</v>
      </c>
      <c r="F14" s="266" t="s">
        <v>85</v>
      </c>
      <c r="G14" s="267" t="s">
        <v>564</v>
      </c>
      <c r="H14" s="50">
        <v>0</v>
      </c>
      <c r="I14" s="56"/>
      <c r="J14" s="130"/>
      <c r="K14" s="130"/>
      <c r="L14" s="130"/>
      <c r="M14" s="130"/>
      <c r="N14" s="130"/>
      <c r="O14" s="173" t="s">
        <v>519</v>
      </c>
      <c r="R14" s="209" t="s">
        <v>556</v>
      </c>
      <c r="S14" s="209" t="s">
        <v>557</v>
      </c>
      <c r="T14" s="209" t="s">
        <v>558</v>
      </c>
      <c r="U14" s="209" t="s">
        <v>559</v>
      </c>
      <c r="V14" s="209" t="s">
        <v>539</v>
      </c>
      <c r="W14" s="209" t="s">
        <v>560</v>
      </c>
      <c r="X14" s="209" t="s">
        <v>561</v>
      </c>
      <c r="Y14" s="209" t="s">
        <v>562</v>
      </c>
      <c r="Z14" s="209" t="s">
        <v>563</v>
      </c>
      <c r="AA14" s="209" t="s">
        <v>564</v>
      </c>
      <c r="AB14" s="209" t="s">
        <v>565</v>
      </c>
      <c r="AC14" s="209" t="s">
        <v>566</v>
      </c>
    </row>
    <row r="15" spans="2:56" ht="19.5" customHeight="1">
      <c r="B15" s="130"/>
      <c r="C15" s="398" t="s">
        <v>394</v>
      </c>
      <c r="D15" s="398"/>
      <c r="E15" s="89" t="s">
        <v>436</v>
      </c>
      <c r="F15" s="266" t="s">
        <v>71</v>
      </c>
      <c r="G15" s="267" t="s">
        <v>558</v>
      </c>
      <c r="H15" s="50">
        <v>0</v>
      </c>
      <c r="I15" s="56"/>
      <c r="J15" s="130"/>
      <c r="K15" s="130"/>
      <c r="L15" s="130"/>
      <c r="M15" s="130"/>
      <c r="N15" s="130"/>
      <c r="O15" s="161" t="s">
        <v>493</v>
      </c>
      <c r="R15" s="264" t="s">
        <v>71</v>
      </c>
      <c r="S15" s="264" t="s">
        <v>72</v>
      </c>
      <c r="T15" s="264" t="s">
        <v>73</v>
      </c>
      <c r="U15" s="264" t="s">
        <v>74</v>
      </c>
      <c r="V15" s="264" t="s">
        <v>75</v>
      </c>
      <c r="W15" s="264" t="s">
        <v>76</v>
      </c>
      <c r="X15" s="264" t="s">
        <v>77</v>
      </c>
      <c r="Y15" s="264" t="s">
        <v>78</v>
      </c>
      <c r="Z15" s="264" t="s">
        <v>79</v>
      </c>
      <c r="AA15" s="264" t="s">
        <v>80</v>
      </c>
      <c r="AB15" s="264" t="s">
        <v>81</v>
      </c>
      <c r="AC15" s="264" t="s">
        <v>82</v>
      </c>
      <c r="AD15" s="264" t="s">
        <v>83</v>
      </c>
      <c r="AE15" s="264" t="s">
        <v>84</v>
      </c>
      <c r="AF15" s="264" t="s">
        <v>85</v>
      </c>
      <c r="AG15" s="264" t="s">
        <v>377</v>
      </c>
      <c r="AH15" s="264" t="s">
        <v>481</v>
      </c>
      <c r="AI15" s="264" t="s">
        <v>541</v>
      </c>
      <c r="AJ15" s="264" t="s">
        <v>542</v>
      </c>
      <c r="AK15" s="264" t="s">
        <v>543</v>
      </c>
      <c r="AL15" s="264" t="s">
        <v>544</v>
      </c>
      <c r="AM15" s="264" t="s">
        <v>545</v>
      </c>
      <c r="AN15" s="264" t="s">
        <v>546</v>
      </c>
      <c r="AO15" s="264" t="s">
        <v>547</v>
      </c>
      <c r="AP15" s="264" t="s">
        <v>548</v>
      </c>
      <c r="AQ15" s="264" t="s">
        <v>549</v>
      </c>
      <c r="AR15" s="264" t="s">
        <v>550</v>
      </c>
      <c r="AS15" s="264" t="s">
        <v>551</v>
      </c>
      <c r="AT15" s="264" t="s">
        <v>552</v>
      </c>
      <c r="AU15" s="264" t="s">
        <v>553</v>
      </c>
      <c r="AV15" s="264" t="s">
        <v>554</v>
      </c>
      <c r="AW15" s="264"/>
      <c r="AX15" s="264"/>
      <c r="AY15" s="264"/>
      <c r="AZ15" s="264"/>
      <c r="BA15" s="264"/>
      <c r="BB15" s="264"/>
      <c r="BC15" s="264"/>
      <c r="BD15" s="264"/>
    </row>
    <row r="16" spans="2:56" ht="19.5" customHeight="1">
      <c r="B16" s="130"/>
      <c r="C16" s="174"/>
      <c r="D16" s="347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509</v>
      </c>
      <c r="C17" s="177"/>
      <c r="D17" s="347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 ht="14.4">
      <c r="B18" s="130"/>
      <c r="C18" s="55" t="s">
        <v>515</v>
      </c>
      <c r="D18" s="130"/>
      <c r="E18" s="130"/>
      <c r="F18" s="48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1</v>
      </c>
      <c r="H19" s="178">
        <f t="shared" si="0"/>
        <v>1</v>
      </c>
      <c r="I19" s="178">
        <f t="shared" si="0"/>
        <v>1</v>
      </c>
      <c r="J19" s="178">
        <f t="shared" si="0"/>
        <v>1</v>
      </c>
      <c r="K19" s="178">
        <f t="shared" si="0"/>
        <v>1</v>
      </c>
      <c r="L19" s="178">
        <f t="shared" si="0"/>
        <v>1</v>
      </c>
      <c r="M19" s="178">
        <f t="shared" si="0"/>
        <v>1</v>
      </c>
      <c r="N19" s="178">
        <f t="shared" si="0"/>
        <v>1</v>
      </c>
      <c r="O19" s="130"/>
    </row>
    <row r="20" spans="1:28" ht="33.75" customHeight="1">
      <c r="B20" s="130"/>
      <c r="C20" s="179" t="s">
        <v>510</v>
      </c>
      <c r="D20" s="180" t="s">
        <v>505</v>
      </c>
      <c r="E20" s="181">
        <v>1</v>
      </c>
      <c r="F20" s="181"/>
      <c r="G20" s="181"/>
      <c r="H20" s="181"/>
      <c r="I20" s="181"/>
      <c r="J20" s="181"/>
      <c r="K20" s="181"/>
      <c r="L20" s="181"/>
      <c r="M20" s="181"/>
      <c r="N20" s="181"/>
      <c r="O20" s="182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 ht="14.4">
      <c r="B21" s="183"/>
      <c r="C21" s="184" t="s">
        <v>517</v>
      </c>
      <c r="D21" s="153" t="s">
        <v>507</v>
      </c>
      <c r="E21" s="289">
        <f>1-SUMPRODUCT(F19:N19,F21:N21)</f>
        <v>1</v>
      </c>
      <c r="F21" s="289"/>
      <c r="G21" s="290"/>
      <c r="H21" s="290"/>
      <c r="I21" s="290"/>
      <c r="J21" s="290"/>
      <c r="K21" s="290"/>
      <c r="L21" s="290"/>
      <c r="M21" s="290"/>
      <c r="N21" s="290"/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 ht="14.4">
      <c r="B22" s="183"/>
      <c r="C22" s="184" t="s">
        <v>529</v>
      </c>
      <c r="D22" s="186">
        <f>SUMPRODUCT(E22:N22,E19:N19)</f>
        <v>1</v>
      </c>
      <c r="E22" s="291">
        <v>1</v>
      </c>
      <c r="F22" s="291"/>
      <c r="G22" s="292"/>
      <c r="H22" s="292"/>
      <c r="I22" s="292"/>
      <c r="J22" s="292"/>
      <c r="K22" s="292"/>
      <c r="L22" s="292"/>
      <c r="M22" s="292"/>
      <c r="N22" s="292"/>
      <c r="O22" s="185" t="s">
        <v>145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 ht="14.4">
      <c r="B23" s="183"/>
      <c r="C23" s="187" t="s">
        <v>137</v>
      </c>
      <c r="D23" s="188"/>
      <c r="E23" s="361" t="s">
        <v>493</v>
      </c>
      <c r="F23" s="156"/>
      <c r="G23" s="156"/>
      <c r="H23" s="156"/>
      <c r="I23" s="156"/>
      <c r="J23" s="156"/>
      <c r="K23" s="156"/>
      <c r="L23" s="156"/>
      <c r="M23" s="156"/>
      <c r="N23" s="156"/>
      <c r="O23" s="185" t="s">
        <v>142</v>
      </c>
      <c r="Q23" s="211"/>
      <c r="R23" s="67" t="s">
        <v>139</v>
      </c>
      <c r="S23" s="67" t="s">
        <v>493</v>
      </c>
      <c r="T23" s="297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1:28" ht="14.4">
      <c r="B24" s="183"/>
      <c r="C24" s="187" t="s">
        <v>512</v>
      </c>
      <c r="D24" s="188"/>
      <c r="E24" s="361" t="s">
        <v>647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85" t="s">
        <v>513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ht="14.4">
      <c r="B25" s="183"/>
      <c r="C25" s="187" t="s">
        <v>506</v>
      </c>
      <c r="D25" s="188"/>
      <c r="E25" s="354" t="s">
        <v>645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85" t="s">
        <v>143</v>
      </c>
      <c r="Q25" s="211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 ht="14.4">
      <c r="B26" s="183"/>
      <c r="C26" s="187" t="s">
        <v>141</v>
      </c>
      <c r="D26" s="188"/>
      <c r="E26" s="362" t="s">
        <v>494</v>
      </c>
      <c r="F26" s="156"/>
      <c r="G26" s="156"/>
      <c r="H26" s="156"/>
      <c r="I26" s="156"/>
      <c r="J26" s="156"/>
      <c r="K26" s="156"/>
      <c r="L26" s="156"/>
      <c r="M26" s="156"/>
      <c r="N26" s="156"/>
      <c r="O26" s="185" t="s">
        <v>142</v>
      </c>
      <c r="Q26" s="211"/>
      <c r="R26" s="209" t="s">
        <v>494</v>
      </c>
      <c r="S26" s="209" t="s">
        <v>634</v>
      </c>
      <c r="T26" s="209" t="s">
        <v>635</v>
      </c>
      <c r="U26" s="209" t="s">
        <v>495</v>
      </c>
      <c r="V26" s="67"/>
      <c r="W26" s="67"/>
      <c r="X26" s="67"/>
      <c r="Y26" s="67"/>
      <c r="Z26" s="67"/>
      <c r="AA26" s="67"/>
      <c r="AB26" s="67"/>
    </row>
    <row r="27" spans="1:28" ht="14.4">
      <c r="A27" s="8"/>
      <c r="B27" s="348"/>
      <c r="C27" s="349" t="s">
        <v>633</v>
      </c>
      <c r="D27" s="350"/>
      <c r="E27" s="350" t="str">
        <f>IF(E26="Individuelle GPT",CONCATENATE(Netzbetreiber!$D$11,'SLP-Temp-Gebiet #02)'!E25,"B"),IF('SLP-Temp-Gebiet #02)'!E26="Allgemeine GPT",CONCATENATE(Netzbetreiber!$D$11,'SLP-Temp-Gebiet #02)'!E25,"A"),""))</f>
        <v/>
      </c>
      <c r="F27" s="350" t="str">
        <f>IF(F26="Individuelle GPT",CONCATENATE(Netzbetreiber!$D$11,'SLP-Temp-Gebiet #02)'!F25,"B"),IF('SLP-Temp-Gebiet #02)'!F26="Allgemeine GPT",CONCATENATE(Netzbetreiber!$D$11,'SLP-Temp-Gebiet #02)'!F25,"A"),""))</f>
        <v/>
      </c>
      <c r="G27" s="350" t="str">
        <f>IF(G26="Individuelle GPT",CONCATENATE(Netzbetreiber!$D$11,'SLP-Temp-Gebiet #02)'!G25,"B"),IF('SLP-Temp-Gebiet #02)'!G26="Allgemeine GPT",CONCATENATE(Netzbetreiber!$D$11,'SLP-Temp-Gebiet #02)'!G25,"A"),""))</f>
        <v/>
      </c>
      <c r="H27" s="350" t="str">
        <f>IF(H26="Individuelle GPT",CONCATENATE(Netzbetreiber!$D$11,'SLP-Temp-Gebiet #02)'!H25,"B"),IF('SLP-Temp-Gebiet #02)'!H26="Allgemeine GPT",CONCATENATE(Netzbetreiber!$D$11,'SLP-Temp-Gebiet #02)'!H25,"A"),""))</f>
        <v/>
      </c>
      <c r="I27" s="350" t="str">
        <f>IF(I26="Individuelle GPT",CONCATENATE(Netzbetreiber!$D$11,'SLP-Temp-Gebiet #02)'!I25,"B"),IF('SLP-Temp-Gebiet #02)'!I26="Allgemeine GPT",CONCATENATE(Netzbetreiber!$D$11,'SLP-Temp-Gebiet #02)'!I25,"A"),""))</f>
        <v/>
      </c>
      <c r="J27" s="350" t="str">
        <f>IF(J26="Individuelle GPT",CONCATENATE(Netzbetreiber!$D$11,'SLP-Temp-Gebiet #02)'!J25,"B"),IF('SLP-Temp-Gebiet #02)'!J26="Allgemeine GPT",CONCATENATE(Netzbetreiber!$D$11,'SLP-Temp-Gebiet #02)'!J25,"A"),""))</f>
        <v/>
      </c>
      <c r="K27" s="350" t="str">
        <f>IF(K26="Individuelle GPT",CONCATENATE(Netzbetreiber!$D$11,'SLP-Temp-Gebiet #02)'!K25,"B"),IF('SLP-Temp-Gebiet #02)'!K26="Allgemeine GPT",CONCATENATE(Netzbetreiber!$D$11,'SLP-Temp-Gebiet #02)'!K25,"A"),""))</f>
        <v/>
      </c>
      <c r="L27" s="350" t="str">
        <f>IF(L26="Individuelle GPT",CONCATENATE(Netzbetreiber!$D$11,'SLP-Temp-Gebiet #02)'!L25,"B"),IF('SLP-Temp-Gebiet #02)'!L26="Allgemeine GPT",CONCATENATE(Netzbetreiber!$D$11,'SLP-Temp-Gebiet #02)'!L25,"A"),""))</f>
        <v/>
      </c>
      <c r="M27" s="350" t="str">
        <f>IF(M26="Individuelle GPT",CONCATENATE(Netzbetreiber!$D$11,'SLP-Temp-Gebiet #02)'!M25,"B"),IF('SLP-Temp-Gebiet #02)'!M26="Allgemeine GPT",CONCATENATE(Netzbetreiber!$D$11,'SLP-Temp-Gebiet #02)'!M25,"A"),""))</f>
        <v/>
      </c>
      <c r="N27" s="350" t="str">
        <f>IF(N26="Individuelle GPT",CONCATENATE(Netzbetreiber!$D$11,'SLP-Temp-Gebiet #02)'!N25,"B"),IF('SLP-Temp-Gebiet #02)'!N26="Allgemeine GPT",CONCATENATE(Netzbetreiber!$D$11,'SLP-Temp-Gebiet #02)'!N25,"A"),""))</f>
        <v/>
      </c>
      <c r="O27" s="351" t="s">
        <v>143</v>
      </c>
      <c r="P27" s="13"/>
      <c r="Q27" s="211"/>
      <c r="R27" s="209" t="s">
        <v>494</v>
      </c>
      <c r="S27" s="209" t="s">
        <v>495</v>
      </c>
    </row>
    <row r="28" spans="1:28" ht="14.4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ht="14.4">
      <c r="B29" s="130"/>
      <c r="C29" s="55" t="s">
        <v>511</v>
      </c>
      <c r="D29" s="130"/>
      <c r="E29" s="130"/>
      <c r="F29" s="48">
        <v>5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1">IF(F31&gt;$F$29,0,1)</f>
        <v>1</v>
      </c>
      <c r="G30" s="178">
        <f t="shared" si="1"/>
        <v>1</v>
      </c>
      <c r="H30" s="178">
        <f t="shared" si="1"/>
        <v>1</v>
      </c>
      <c r="I30" s="178">
        <f t="shared" si="1"/>
        <v>1</v>
      </c>
      <c r="J30" s="178">
        <f t="shared" si="1"/>
        <v>0</v>
      </c>
      <c r="K30" s="178">
        <f t="shared" si="1"/>
        <v>0</v>
      </c>
      <c r="L30" s="178">
        <f t="shared" si="1"/>
        <v>0</v>
      </c>
      <c r="M30" s="178">
        <f t="shared" si="1"/>
        <v>0</v>
      </c>
      <c r="N30" s="178">
        <f t="shared" si="1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 ht="14.4">
      <c r="B31" s="183"/>
      <c r="C31" s="179" t="s">
        <v>140</v>
      </c>
      <c r="D31" s="180" t="s">
        <v>265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144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 ht="14.4">
      <c r="B32" s="183"/>
      <c r="C32" s="184" t="s">
        <v>518</v>
      </c>
      <c r="D32" s="186" t="s">
        <v>264</v>
      </c>
      <c r="E32" s="287">
        <f>1-SUMPRODUCT(F30:N30,F32:N32)</f>
        <v>0.41069999999999995</v>
      </c>
      <c r="F32" s="287">
        <f>ROUND(F33/$D$33,4)</f>
        <v>0.20530000000000001</v>
      </c>
      <c r="G32" s="357">
        <f t="shared" ref="G32:N32" si="2">ROUND(G33/$D$33,4)</f>
        <v>0.1027</v>
      </c>
      <c r="H32" s="357">
        <f t="shared" si="2"/>
        <v>5.1299999999999998E-2</v>
      </c>
      <c r="I32" s="357">
        <f t="shared" si="2"/>
        <v>0.23</v>
      </c>
      <c r="J32" s="287">
        <f t="shared" si="2"/>
        <v>0</v>
      </c>
      <c r="K32" s="287">
        <f t="shared" si="2"/>
        <v>0</v>
      </c>
      <c r="L32" s="287">
        <f t="shared" si="2"/>
        <v>0</v>
      </c>
      <c r="M32" s="287">
        <f t="shared" si="2"/>
        <v>0</v>
      </c>
      <c r="N32" s="287">
        <f t="shared" si="2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4">
      <c r="B33" s="183"/>
      <c r="C33" s="184" t="s">
        <v>649</v>
      </c>
      <c r="D33" s="293">
        <f>SUMPRODUCT(E33:N33,E30:N30)</f>
        <v>1.875</v>
      </c>
      <c r="E33" s="288">
        <v>0.77</v>
      </c>
      <c r="F33" s="288">
        <v>0.38500000000000001</v>
      </c>
      <c r="G33" s="358">
        <v>0.1925</v>
      </c>
      <c r="H33" s="358">
        <v>9.6250000000000002E-2</v>
      </c>
      <c r="I33" s="359">
        <v>0.43125000000000002</v>
      </c>
      <c r="J33" s="155"/>
      <c r="K33" s="155"/>
      <c r="L33" s="155"/>
      <c r="M33" s="155"/>
      <c r="N33" s="155"/>
      <c r="O33" s="185" t="s">
        <v>145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 ht="14.4">
      <c r="B34" s="183"/>
      <c r="C34" s="187" t="s">
        <v>368</v>
      </c>
      <c r="D34" s="153" t="s">
        <v>367</v>
      </c>
      <c r="E34" s="156" t="s">
        <v>3</v>
      </c>
      <c r="F34" s="156" t="s">
        <v>366</v>
      </c>
      <c r="G34" s="356" t="s">
        <v>357</v>
      </c>
      <c r="H34" s="356" t="s">
        <v>358</v>
      </c>
      <c r="I34" s="356" t="s">
        <v>650</v>
      </c>
      <c r="J34" s="156"/>
      <c r="K34" s="156"/>
      <c r="L34" s="156"/>
      <c r="M34" s="156"/>
      <c r="N34" s="156"/>
      <c r="O34" s="185" t="s">
        <v>142</v>
      </c>
      <c r="Q34" s="211"/>
      <c r="R34" s="67" t="s">
        <v>3</v>
      </c>
      <c r="S34" s="67" t="s">
        <v>366</v>
      </c>
      <c r="T34" s="67" t="s">
        <v>357</v>
      </c>
      <c r="U34" s="67" t="s">
        <v>358</v>
      </c>
      <c r="V34" s="67" t="s">
        <v>359</v>
      </c>
      <c r="W34" s="67" t="s">
        <v>360</v>
      </c>
      <c r="X34" s="67" t="s">
        <v>361</v>
      </c>
      <c r="Y34" s="67" t="s">
        <v>362</v>
      </c>
      <c r="Z34" s="67" t="s">
        <v>363</v>
      </c>
      <c r="AA34" s="67" t="s">
        <v>364</v>
      </c>
      <c r="AB34" s="67" t="s">
        <v>365</v>
      </c>
    </row>
    <row r="35" spans="2:28" ht="14.4">
      <c r="B35" s="183"/>
      <c r="C35" s="187" t="s">
        <v>438</v>
      </c>
      <c r="D35" s="153" t="s">
        <v>437</v>
      </c>
      <c r="E35" s="156" t="s">
        <v>503</v>
      </c>
      <c r="F35" s="156" t="s">
        <v>503</v>
      </c>
      <c r="G35" s="356" t="s">
        <v>503</v>
      </c>
      <c r="H35" s="356" t="s">
        <v>503</v>
      </c>
      <c r="I35" s="356" t="s">
        <v>503</v>
      </c>
      <c r="J35" s="162"/>
      <c r="K35" s="162"/>
      <c r="L35" s="162"/>
      <c r="M35" s="162"/>
      <c r="N35" s="162"/>
      <c r="O35" s="185" t="s">
        <v>142</v>
      </c>
      <c r="Q35" s="211"/>
      <c r="R35" s="67" t="s">
        <v>503</v>
      </c>
      <c r="S35" s="67" t="s">
        <v>504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 ht="14.4">
      <c r="B36" s="183"/>
      <c r="C36" s="187" t="s">
        <v>584</v>
      </c>
      <c r="D36" s="153" t="s">
        <v>585</v>
      </c>
      <c r="E36" s="156" t="s">
        <v>586</v>
      </c>
      <c r="F36" s="156" t="s">
        <v>586</v>
      </c>
      <c r="G36" s="356" t="s">
        <v>586</v>
      </c>
      <c r="H36" s="356" t="s">
        <v>586</v>
      </c>
      <c r="I36" s="356" t="s">
        <v>586</v>
      </c>
      <c r="J36" s="156" t="s">
        <v>583</v>
      </c>
      <c r="K36" s="156" t="s">
        <v>583</v>
      </c>
      <c r="L36" s="156" t="s">
        <v>583</v>
      </c>
      <c r="M36" s="156" t="s">
        <v>583</v>
      </c>
      <c r="N36" s="156" t="s">
        <v>583</v>
      </c>
      <c r="O36" s="185" t="s">
        <v>142</v>
      </c>
      <c r="Q36" s="211"/>
      <c r="R36" s="67" t="s">
        <v>583</v>
      </c>
      <c r="S36" s="67" t="s">
        <v>586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 ht="14.4">
      <c r="B37" s="183"/>
      <c r="C37" s="192" t="s">
        <v>430</v>
      </c>
      <c r="D37" s="119" t="s">
        <v>530</v>
      </c>
      <c r="E37" s="162" t="s">
        <v>439</v>
      </c>
      <c r="F37" s="162" t="s">
        <v>439</v>
      </c>
      <c r="G37" s="360" t="s">
        <v>440</v>
      </c>
      <c r="H37" s="360" t="s">
        <v>440</v>
      </c>
      <c r="I37" s="360" t="s">
        <v>648</v>
      </c>
      <c r="J37" s="162"/>
      <c r="K37" s="162"/>
      <c r="L37" s="162"/>
      <c r="M37" s="162"/>
      <c r="N37" s="162"/>
      <c r="O37" s="185" t="s">
        <v>142</v>
      </c>
      <c r="Q37" s="211"/>
      <c r="R37" s="67" t="s">
        <v>440</v>
      </c>
      <c r="S37" s="67" t="s">
        <v>439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 ht="14.4">
      <c r="B39" s="193"/>
      <c r="C39" s="194" t="s">
        <v>276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5.6">
      <c r="B40" s="193"/>
      <c r="C40" s="197" t="s">
        <v>356</v>
      </c>
      <c r="D40" s="198"/>
      <c r="E40" s="198" t="s">
        <v>523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 ht="14.4">
      <c r="B41" s="193"/>
      <c r="C41" s="197"/>
      <c r="D41" s="198"/>
      <c r="E41" s="198" t="s">
        <v>524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 ht="14.4">
      <c r="B42" s="193"/>
      <c r="C42" s="197"/>
      <c r="D42" s="198"/>
      <c r="E42" s="198" t="s">
        <v>516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 ht="14.4">
      <c r="B43" s="193"/>
      <c r="C43" s="200"/>
      <c r="D43" s="198"/>
      <c r="E43" s="198" t="s">
        <v>521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 ht="14.4">
      <c r="B44" s="193"/>
      <c r="C44" s="200"/>
      <c r="D44" s="198"/>
      <c r="E44" s="198" t="s">
        <v>522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 ht="14.4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 ht="14.4">
      <c r="B46" s="193"/>
      <c r="C46" s="197" t="s">
        <v>527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 ht="14.4">
      <c r="B47" s="193"/>
      <c r="C47" s="200" t="s">
        <v>528</v>
      </c>
      <c r="D47" s="201" t="s">
        <v>526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369</v>
      </c>
      <c r="K47" s="198"/>
      <c r="L47" s="198"/>
      <c r="M47" s="198"/>
      <c r="N47" s="198"/>
      <c r="O47" s="199"/>
    </row>
    <row r="48" spans="2:28" ht="14.4">
      <c r="B48" s="193"/>
      <c r="C48" s="200" t="s">
        <v>355</v>
      </c>
      <c r="D48" s="201" t="s">
        <v>526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369</v>
      </c>
      <c r="K48" s="198"/>
      <c r="L48" s="198"/>
      <c r="M48" s="198"/>
      <c r="N48" s="198"/>
      <c r="O48" s="199"/>
    </row>
    <row r="49" spans="2:28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 ht="14.4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">
      <c r="B51" s="176" t="s">
        <v>571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 ht="14.4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 ht="14.4">
      <c r="B53" s="130"/>
      <c r="C53" s="55" t="s">
        <v>535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3">IF(F55&gt;$F$53,0,1)</f>
        <v>1</v>
      </c>
      <c r="G54" s="178">
        <f t="shared" si="3"/>
        <v>1</v>
      </c>
      <c r="H54" s="178">
        <f t="shared" si="3"/>
        <v>1</v>
      </c>
      <c r="I54" s="178">
        <f t="shared" si="3"/>
        <v>1</v>
      </c>
      <c r="J54" s="178">
        <f t="shared" si="3"/>
        <v>1</v>
      </c>
      <c r="K54" s="178">
        <f t="shared" si="3"/>
        <v>1</v>
      </c>
      <c r="L54" s="178">
        <f t="shared" si="3"/>
        <v>1</v>
      </c>
      <c r="M54" s="178">
        <f t="shared" si="3"/>
        <v>1</v>
      </c>
      <c r="N54" s="178">
        <f t="shared" si="3"/>
        <v>1</v>
      </c>
      <c r="O54" s="130"/>
    </row>
    <row r="55" spans="2:28" ht="33.75" customHeight="1">
      <c r="B55" s="130"/>
      <c r="C55" s="179" t="s">
        <v>510</v>
      </c>
      <c r="D55" s="180" t="s">
        <v>505</v>
      </c>
      <c r="E55" s="181">
        <v>1</v>
      </c>
      <c r="F55" s="181"/>
      <c r="G55" s="181"/>
      <c r="H55" s="181"/>
      <c r="I55" s="181"/>
      <c r="J55" s="181"/>
      <c r="K55" s="181"/>
      <c r="L55" s="181"/>
      <c r="M55" s="181"/>
      <c r="N55" s="181"/>
      <c r="O55" s="182" t="s">
        <v>144</v>
      </c>
      <c r="W55" s="67"/>
      <c r="X55" s="67"/>
      <c r="Y55" s="67"/>
      <c r="Z55" s="67"/>
      <c r="AA55" s="67"/>
      <c r="AB55" s="67"/>
    </row>
    <row r="56" spans="2:28" ht="14.4">
      <c r="B56" s="183"/>
      <c r="C56" s="184" t="s">
        <v>517</v>
      </c>
      <c r="D56" s="153" t="s">
        <v>507</v>
      </c>
      <c r="E56" s="287">
        <f>1-SUMPRODUCT(F54:N54,F56:N56)</f>
        <v>1</v>
      </c>
      <c r="F56" s="287"/>
      <c r="G56" s="287"/>
      <c r="H56" s="287"/>
      <c r="I56" s="287"/>
      <c r="J56" s="287"/>
      <c r="K56" s="287"/>
      <c r="L56" s="287"/>
      <c r="M56" s="287"/>
      <c r="N56" s="287"/>
      <c r="O56" s="185"/>
      <c r="W56" s="67"/>
      <c r="X56" s="67"/>
      <c r="Y56" s="67"/>
      <c r="Z56" s="67"/>
      <c r="AA56" s="67"/>
      <c r="AB56" s="67"/>
    </row>
    <row r="57" spans="2:28" ht="14.4">
      <c r="B57" s="183"/>
      <c r="C57" s="184" t="s">
        <v>529</v>
      </c>
      <c r="D57" s="186">
        <f>SUMPRODUCT(E57:N57,E54:N54)</f>
        <v>1</v>
      </c>
      <c r="E57" s="288">
        <f>E22</f>
        <v>1</v>
      </c>
      <c r="F57" s="363"/>
      <c r="G57" s="363"/>
      <c r="H57" s="363"/>
      <c r="I57" s="363"/>
      <c r="J57" s="363"/>
      <c r="K57" s="363"/>
      <c r="L57" s="363"/>
      <c r="M57" s="363"/>
      <c r="N57" s="363"/>
      <c r="O57" s="185" t="s">
        <v>145</v>
      </c>
      <c r="W57" s="67"/>
      <c r="X57" s="67"/>
      <c r="Y57" s="67"/>
      <c r="Z57" s="67"/>
      <c r="AA57" s="67"/>
      <c r="AB57" s="67"/>
    </row>
    <row r="58" spans="2:28" ht="14.4">
      <c r="B58" s="183"/>
      <c r="C58" s="187" t="s">
        <v>137</v>
      </c>
      <c r="D58" s="188"/>
      <c r="E58" s="156" t="str">
        <f>E23</f>
        <v>MeteoGroup</v>
      </c>
      <c r="F58" s="158"/>
      <c r="G58" s="158"/>
      <c r="H58" s="158"/>
      <c r="I58" s="158"/>
      <c r="J58" s="158"/>
      <c r="K58" s="158"/>
      <c r="L58" s="158"/>
      <c r="M58" s="158"/>
      <c r="N58" s="158"/>
      <c r="O58" s="185" t="s">
        <v>142</v>
      </c>
      <c r="W58" s="67"/>
      <c r="X58" s="67"/>
      <c r="Y58" s="67"/>
      <c r="Z58" s="67"/>
      <c r="AA58" s="67"/>
      <c r="AB58" s="67"/>
    </row>
    <row r="59" spans="2:28" ht="14.4">
      <c r="B59" s="183"/>
      <c r="C59" s="187" t="s">
        <v>512</v>
      </c>
      <c r="D59" s="188"/>
      <c r="E59" s="156" t="s">
        <v>652</v>
      </c>
      <c r="F59" s="158"/>
      <c r="G59" s="158"/>
      <c r="H59" s="158"/>
      <c r="I59" s="158"/>
      <c r="J59" s="158"/>
      <c r="K59" s="158"/>
      <c r="L59" s="158"/>
      <c r="M59" s="158"/>
      <c r="N59" s="158"/>
      <c r="O59" s="185" t="s">
        <v>513</v>
      </c>
      <c r="W59" s="67"/>
      <c r="X59" s="67"/>
      <c r="Y59" s="67"/>
      <c r="Z59" s="67"/>
      <c r="AA59" s="67"/>
      <c r="AB59" s="67"/>
    </row>
    <row r="60" spans="2:28" ht="14.4">
      <c r="B60" s="183"/>
      <c r="C60" s="187" t="s">
        <v>506</v>
      </c>
      <c r="D60" s="188"/>
      <c r="E60" s="160" t="str">
        <f>E25</f>
        <v>10923 Tuttlingen</v>
      </c>
      <c r="F60" s="364"/>
      <c r="G60" s="364"/>
      <c r="H60" s="364"/>
      <c r="I60" s="364"/>
      <c r="J60" s="364"/>
      <c r="K60" s="364"/>
      <c r="L60" s="364"/>
      <c r="M60" s="364"/>
      <c r="N60" s="364"/>
      <c r="O60" s="185" t="s">
        <v>143</v>
      </c>
      <c r="W60" s="67"/>
      <c r="X60" s="67"/>
      <c r="Y60" s="67"/>
      <c r="Z60" s="67"/>
      <c r="AA60" s="67"/>
      <c r="AB60" s="67"/>
    </row>
    <row r="61" spans="2:28" ht="14.4">
      <c r="B61" s="183"/>
      <c r="C61" s="187" t="s">
        <v>141</v>
      </c>
      <c r="D61" s="188"/>
      <c r="E61" s="158" t="str">
        <f>E26</f>
        <v>Temp. (2m)</v>
      </c>
      <c r="F61" s="158"/>
      <c r="G61" s="158"/>
      <c r="H61" s="158"/>
      <c r="I61" s="158"/>
      <c r="J61" s="158"/>
      <c r="K61" s="158"/>
      <c r="L61" s="158"/>
      <c r="M61" s="158"/>
      <c r="N61" s="158"/>
      <c r="O61" s="185" t="s">
        <v>142</v>
      </c>
      <c r="W61" s="67"/>
      <c r="X61" s="67"/>
      <c r="Y61" s="67"/>
      <c r="Z61" s="67"/>
      <c r="AA61" s="67"/>
      <c r="AB61" s="67"/>
    </row>
    <row r="62" spans="2:28" ht="14.4"/>
    <row r="63" spans="2:28" ht="14.4">
      <c r="C63" s="55" t="s">
        <v>511</v>
      </c>
      <c r="D63" s="130"/>
      <c r="E63" s="130"/>
      <c r="F63" s="157">
        <v>1</v>
      </c>
    </row>
    <row r="64" spans="2:28" ht="15" customHeight="1">
      <c r="E64" s="178">
        <f>IF(E65&gt;$F$63,0,1)</f>
        <v>1</v>
      </c>
      <c r="F64" s="178">
        <f t="shared" ref="F64:N64" si="4">IF(F65&gt;$F$63,0,1)</f>
        <v>0</v>
      </c>
      <c r="G64" s="178">
        <f t="shared" si="4"/>
        <v>0</v>
      </c>
      <c r="H64" s="178">
        <f t="shared" si="4"/>
        <v>0</v>
      </c>
      <c r="I64" s="178">
        <f t="shared" si="4"/>
        <v>0</v>
      </c>
      <c r="J64" s="178">
        <f t="shared" si="4"/>
        <v>0</v>
      </c>
      <c r="K64" s="178">
        <f t="shared" si="4"/>
        <v>0</v>
      </c>
      <c r="L64" s="178">
        <f t="shared" si="4"/>
        <v>0</v>
      </c>
      <c r="M64" s="178">
        <f t="shared" si="4"/>
        <v>0</v>
      </c>
      <c r="N64" s="178">
        <f t="shared" si="4"/>
        <v>0</v>
      </c>
    </row>
    <row r="65" spans="1:28" s="170" customFormat="1" ht="18" customHeight="1">
      <c r="A65" s="128"/>
      <c r="B65" s="130"/>
      <c r="C65" s="179" t="s">
        <v>140</v>
      </c>
      <c r="D65" s="180" t="s">
        <v>265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144</v>
      </c>
      <c r="Q65" s="209"/>
      <c r="R65" s="209"/>
      <c r="S65" s="209"/>
      <c r="T65" s="209"/>
      <c r="U65" s="209"/>
      <c r="V65" s="209"/>
      <c r="W65" s="209"/>
      <c r="X65" s="209"/>
      <c r="Y65" s="209"/>
      <c r="Z65" s="209"/>
      <c r="AA65" s="209"/>
      <c r="AB65" s="209"/>
    </row>
    <row r="66" spans="1:28" s="170" customFormat="1" ht="14.4">
      <c r="A66" s="128"/>
      <c r="B66" s="183"/>
      <c r="C66" s="184" t="s">
        <v>518</v>
      </c>
      <c r="D66" s="186" t="s">
        <v>264</v>
      </c>
      <c r="E66" s="287">
        <f>1-SUMPRODUCT(F64:N64,F66:N66)</f>
        <v>1</v>
      </c>
      <c r="F66" s="287">
        <f>ROUND(F67/$D$67,4)</f>
        <v>0.38500000000000001</v>
      </c>
      <c r="G66" s="287">
        <f t="shared" ref="G66:N66" si="5">ROUND(G67/$D$67,4)</f>
        <v>0.1925</v>
      </c>
      <c r="H66" s="287">
        <f t="shared" si="5"/>
        <v>9.6299999999999997E-2</v>
      </c>
      <c r="I66" s="287">
        <f t="shared" si="5"/>
        <v>0.43130000000000002</v>
      </c>
      <c r="J66" s="287">
        <f t="shared" si="5"/>
        <v>0</v>
      </c>
      <c r="K66" s="287">
        <f t="shared" si="5"/>
        <v>0</v>
      </c>
      <c r="L66" s="287">
        <f t="shared" si="5"/>
        <v>0</v>
      </c>
      <c r="M66" s="287">
        <f t="shared" si="5"/>
        <v>0</v>
      </c>
      <c r="N66" s="287">
        <f t="shared" si="5"/>
        <v>0</v>
      </c>
      <c r="O66" s="185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</row>
    <row r="67" spans="1:28" s="170" customFormat="1" ht="14.4">
      <c r="A67" s="128"/>
      <c r="B67" s="183"/>
      <c r="C67" s="184" t="s">
        <v>525</v>
      </c>
      <c r="D67" s="186">
        <v>1</v>
      </c>
      <c r="E67" s="295">
        <v>1</v>
      </c>
      <c r="F67" s="295">
        <f t="shared" ref="F67:N71" si="6">F33</f>
        <v>0.38500000000000001</v>
      </c>
      <c r="G67" s="295">
        <f t="shared" si="6"/>
        <v>0.1925</v>
      </c>
      <c r="H67" s="295">
        <f t="shared" si="6"/>
        <v>9.6250000000000002E-2</v>
      </c>
      <c r="I67" s="295">
        <f t="shared" si="6"/>
        <v>0.43125000000000002</v>
      </c>
      <c r="J67" s="295">
        <f t="shared" si="6"/>
        <v>0</v>
      </c>
      <c r="K67" s="295">
        <f t="shared" si="6"/>
        <v>0</v>
      </c>
      <c r="L67" s="295">
        <f t="shared" si="6"/>
        <v>0</v>
      </c>
      <c r="M67" s="295">
        <f t="shared" si="6"/>
        <v>0</v>
      </c>
      <c r="N67" s="295">
        <f t="shared" si="6"/>
        <v>0</v>
      </c>
      <c r="O67" s="185" t="s">
        <v>145</v>
      </c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</row>
    <row r="68" spans="1:28" s="170" customFormat="1" ht="14.4">
      <c r="A68" s="128"/>
      <c r="B68" s="183"/>
      <c r="C68" s="187" t="s">
        <v>368</v>
      </c>
      <c r="D68" s="153" t="s">
        <v>367</v>
      </c>
      <c r="E68" s="156" t="str">
        <f>E34</f>
        <v>D</v>
      </c>
      <c r="F68" s="156" t="str">
        <f t="shared" si="6"/>
        <v>D-1</v>
      </c>
      <c r="G68" s="156" t="str">
        <f t="shared" si="6"/>
        <v>D-2</v>
      </c>
      <c r="H68" s="156" t="str">
        <f t="shared" si="6"/>
        <v>D-3</v>
      </c>
      <c r="I68" s="156" t="str">
        <f t="shared" si="6"/>
        <v>2009 - 2022</v>
      </c>
      <c r="J68" s="156">
        <f t="shared" si="6"/>
        <v>0</v>
      </c>
      <c r="K68" s="156">
        <f t="shared" si="6"/>
        <v>0</v>
      </c>
      <c r="L68" s="156">
        <f t="shared" si="6"/>
        <v>0</v>
      </c>
      <c r="M68" s="156">
        <f t="shared" si="6"/>
        <v>0</v>
      </c>
      <c r="N68" s="156">
        <f t="shared" si="6"/>
        <v>0</v>
      </c>
      <c r="O68" s="185" t="s">
        <v>142</v>
      </c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</row>
    <row r="69" spans="1:28" s="170" customFormat="1" ht="14.4">
      <c r="A69" s="128"/>
      <c r="B69" s="183"/>
      <c r="C69" s="187" t="s">
        <v>438</v>
      </c>
      <c r="D69" s="153" t="s">
        <v>437</v>
      </c>
      <c r="E69" s="159" t="str">
        <f>E35</f>
        <v>Gastag</v>
      </c>
      <c r="F69" s="159" t="str">
        <f t="shared" si="6"/>
        <v>Gastag</v>
      </c>
      <c r="G69" s="159" t="str">
        <f t="shared" si="6"/>
        <v>Gastag</v>
      </c>
      <c r="H69" s="159" t="str">
        <f t="shared" si="6"/>
        <v>Gastag</v>
      </c>
      <c r="I69" s="162" t="str">
        <f t="shared" si="6"/>
        <v>Gastag</v>
      </c>
      <c r="J69" s="162">
        <f t="shared" si="6"/>
        <v>0</v>
      </c>
      <c r="K69" s="162">
        <f t="shared" si="6"/>
        <v>0</v>
      </c>
      <c r="L69" s="162">
        <f t="shared" si="6"/>
        <v>0</v>
      </c>
      <c r="M69" s="162">
        <f t="shared" si="6"/>
        <v>0</v>
      </c>
      <c r="N69" s="162">
        <f t="shared" si="6"/>
        <v>0</v>
      </c>
      <c r="O69" s="185" t="s">
        <v>142</v>
      </c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</row>
    <row r="70" spans="1:28" s="170" customFormat="1" ht="14.4">
      <c r="A70" s="128"/>
      <c r="B70" s="183"/>
      <c r="C70" s="187" t="s">
        <v>584</v>
      </c>
      <c r="D70" s="153" t="s">
        <v>585</v>
      </c>
      <c r="E70" s="159" t="str">
        <f>E36</f>
        <v>UCT</v>
      </c>
      <c r="F70" s="159" t="str">
        <f t="shared" si="6"/>
        <v>UCT</v>
      </c>
      <c r="G70" s="159" t="str">
        <f t="shared" si="6"/>
        <v>UCT</v>
      </c>
      <c r="H70" s="159" t="str">
        <f t="shared" si="6"/>
        <v>UCT</v>
      </c>
      <c r="I70" s="162" t="str">
        <f t="shared" si="6"/>
        <v>UCT</v>
      </c>
      <c r="J70" s="162" t="str">
        <f t="shared" si="6"/>
        <v>CET/CEST</v>
      </c>
      <c r="K70" s="162" t="str">
        <f t="shared" si="6"/>
        <v>CET/CEST</v>
      </c>
      <c r="L70" s="162" t="str">
        <f t="shared" si="6"/>
        <v>CET/CEST</v>
      </c>
      <c r="M70" s="162" t="str">
        <f t="shared" si="6"/>
        <v>CET/CEST</v>
      </c>
      <c r="N70" s="162" t="str">
        <f t="shared" si="6"/>
        <v>CET/CEST</v>
      </c>
      <c r="O70" s="185" t="s">
        <v>142</v>
      </c>
      <c r="Q70" s="209"/>
      <c r="R70" s="209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</row>
    <row r="71" spans="1:28" s="170" customFormat="1" ht="14.4">
      <c r="A71" s="128"/>
      <c r="B71" s="183"/>
      <c r="C71" s="192" t="s">
        <v>430</v>
      </c>
      <c r="D71" s="119" t="s">
        <v>530</v>
      </c>
      <c r="E71" s="163" t="s">
        <v>440</v>
      </c>
      <c r="F71" s="163" t="s">
        <v>440</v>
      </c>
      <c r="G71" s="163" t="str">
        <f t="shared" si="6"/>
        <v>Temp.-IST</v>
      </c>
      <c r="H71" s="163" t="str">
        <f t="shared" si="6"/>
        <v>Temp.-IST</v>
      </c>
      <c r="I71" s="163" t="str">
        <f t="shared" si="6"/>
        <v>Temp. hist. Ø (Monat)</v>
      </c>
      <c r="J71" s="163">
        <f t="shared" si="6"/>
        <v>0</v>
      </c>
      <c r="K71" s="163">
        <f t="shared" si="6"/>
        <v>0</v>
      </c>
      <c r="L71" s="163">
        <f t="shared" si="6"/>
        <v>0</v>
      </c>
      <c r="M71" s="163">
        <f t="shared" si="6"/>
        <v>0</v>
      </c>
      <c r="N71" s="163">
        <f t="shared" si="6"/>
        <v>0</v>
      </c>
      <c r="O71" s="185" t="s">
        <v>142</v>
      </c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</row>
    <row r="72" spans="1:28" s="170" customFormat="1" ht="14.4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</row>
    <row r="73" spans="1:28" s="170" customFormat="1" ht="15.75" customHeight="1">
      <c r="A73" s="128"/>
      <c r="B73" s="128"/>
      <c r="C73" s="399" t="s">
        <v>572</v>
      </c>
      <c r="D73" s="399"/>
      <c r="E73" s="399"/>
      <c r="F73" s="399"/>
      <c r="G73" s="128"/>
      <c r="H73" s="128"/>
      <c r="I73" s="128"/>
      <c r="J73" s="128"/>
      <c r="K73" s="128"/>
      <c r="L73" s="128"/>
      <c r="M73" s="128"/>
      <c r="N73" s="128"/>
      <c r="O73" s="128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</row>
    <row r="74" spans="1:28" s="170" customFormat="1" ht="14.4">
      <c r="A74" s="128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</row>
    <row r="75" spans="1:28" s="170" customFormat="1" ht="14.4" hidden="1">
      <c r="A75" s="12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Q75" s="209"/>
      <c r="R75" s="209"/>
      <c r="S75" s="209"/>
      <c r="T75" s="209"/>
      <c r="U75" s="209"/>
      <c r="V75" s="209"/>
      <c r="W75" s="209"/>
      <c r="X75" s="209"/>
      <c r="Y75" s="209"/>
      <c r="Z75" s="209"/>
      <c r="AA75" s="209"/>
      <c r="AB75" s="209"/>
    </row>
    <row r="76" spans="1:28" s="170" customFormat="1" ht="14.4" hidden="1">
      <c r="A76" s="128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</row>
    <row r="77" spans="1:28" s="170" customFormat="1" ht="14.4" hidden="1">
      <c r="A77" s="128"/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</row>
    <row r="78" spans="1:28" s="170" customFormat="1" ht="14.4" hidden="1">
      <c r="A78" s="128"/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</row>
    <row r="79" spans="1:28" s="170" customFormat="1" ht="14.4">
      <c r="A79" s="128"/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Q79" s="209"/>
      <c r="R79" s="209"/>
      <c r="S79" s="209"/>
      <c r="T79" s="209"/>
      <c r="U79" s="209"/>
      <c r="V79" s="209"/>
      <c r="W79" s="209"/>
      <c r="X79" s="209"/>
      <c r="Y79" s="209"/>
      <c r="Z79" s="209"/>
      <c r="AA79" s="209"/>
      <c r="AB79" s="209"/>
    </row>
  </sheetData>
  <mergeCells count="4">
    <mergeCell ref="C13:E13"/>
    <mergeCell ref="C14:D14"/>
    <mergeCell ref="C15:D15"/>
    <mergeCell ref="C73:F73"/>
  </mergeCells>
  <conditionalFormatting sqref="E22:N22 F23:N25">
    <cfRule type="expression" dxfId="53" priority="39">
      <formula>IF(E$20&lt;=$F$18,1,0)</formula>
    </cfRule>
  </conditionalFormatting>
  <conditionalFormatting sqref="E33:F37 J33:N37">
    <cfRule type="expression" dxfId="52" priority="38">
      <formula>IF(E$31&lt;=$F$29,1,0)</formula>
    </cfRule>
  </conditionalFormatting>
  <conditionalFormatting sqref="E26:N26">
    <cfRule type="expression" dxfId="51" priority="37">
      <formula>IF(E$20&lt;=$F$18,1,0)</formula>
    </cfRule>
  </conditionalFormatting>
  <conditionalFormatting sqref="E26:N26">
    <cfRule type="expression" dxfId="50" priority="36">
      <formula>IF(E$20&lt;=$F$18,1,0)</formula>
    </cfRule>
  </conditionalFormatting>
  <conditionalFormatting sqref="E57:E60">
    <cfRule type="expression" dxfId="49" priority="35">
      <formula>IF(E$55&lt;=$F$53,1,0)</formula>
    </cfRule>
  </conditionalFormatting>
  <conditionalFormatting sqref="E61:N61">
    <cfRule type="expression" dxfId="48" priority="34">
      <formula>IF(E$55&lt;=$F$53,1,0)</formula>
    </cfRule>
  </conditionalFormatting>
  <conditionalFormatting sqref="E67:N69">
    <cfRule type="expression" dxfId="47" priority="33">
      <formula>IF(E$65&lt;=$F$63,1,0)</formula>
    </cfRule>
  </conditionalFormatting>
  <conditionalFormatting sqref="E66:N69 E71:N71">
    <cfRule type="expression" dxfId="46" priority="32">
      <formula>IF(E$65&gt;$F$63,1,0)</formula>
    </cfRule>
  </conditionalFormatting>
  <conditionalFormatting sqref="E61:N61 E57:E60">
    <cfRule type="expression" dxfId="45" priority="31">
      <formula>IF(E$55&gt;$F$53,1,0)</formula>
    </cfRule>
  </conditionalFormatting>
  <conditionalFormatting sqref="E21:N22 E26:N26 F23:N25">
    <cfRule type="expression" dxfId="44" priority="30">
      <formula>IF(E$20&gt;$F$18,1,0)</formula>
    </cfRule>
  </conditionalFormatting>
  <conditionalFormatting sqref="E33:F37 J33:N37">
    <cfRule type="expression" dxfId="43" priority="29">
      <formula>IF(E$31&gt;$F$29,1,0)</formula>
    </cfRule>
  </conditionalFormatting>
  <conditionalFormatting sqref="H11 H8:H9">
    <cfRule type="expression" dxfId="42" priority="28">
      <formula>IF($F$9=1,1,0)</formula>
    </cfRule>
  </conditionalFormatting>
  <conditionalFormatting sqref="E56:N56">
    <cfRule type="expression" dxfId="41" priority="27">
      <formula>IF(E$55&gt;$F$53,1,0)</formula>
    </cfRule>
  </conditionalFormatting>
  <conditionalFormatting sqref="E32:F32 J32:N32">
    <cfRule type="expression" dxfId="40" priority="26">
      <formula>IF(E$31&gt;$F$29,1,0)</formula>
    </cfRule>
  </conditionalFormatting>
  <conditionalFormatting sqref="E71:N71">
    <cfRule type="expression" dxfId="39" priority="25">
      <formula>IF(E$65&lt;=$F$63,1,0)</formula>
    </cfRule>
  </conditionalFormatting>
  <conditionalFormatting sqref="H10">
    <cfRule type="expression" dxfId="38" priority="24">
      <formula>IF($F$9=1,1,0)</formula>
    </cfRule>
  </conditionalFormatting>
  <conditionalFormatting sqref="E70:N70">
    <cfRule type="expression" dxfId="37" priority="23">
      <formula>IF(E$65&lt;=$F$63,1,0)</formula>
    </cfRule>
  </conditionalFormatting>
  <conditionalFormatting sqref="E70:N70">
    <cfRule type="expression" dxfId="36" priority="22">
      <formula>IF(E$65&gt;$F$63,1,0)</formula>
    </cfRule>
  </conditionalFormatting>
  <conditionalFormatting sqref="E23:E24">
    <cfRule type="expression" dxfId="35" priority="21">
      <formula>IF(E$20&lt;=$F$18,1,0)</formula>
    </cfRule>
  </conditionalFormatting>
  <conditionalFormatting sqref="E23:E24">
    <cfRule type="expression" dxfId="34" priority="20">
      <formula>IF(E$20&gt;$F$18,1,0)</formula>
    </cfRule>
  </conditionalFormatting>
  <conditionalFormatting sqref="G34:G37">
    <cfRule type="expression" dxfId="33" priority="19">
      <formula>IF(G$31&lt;=$F$29,1,0)</formula>
    </cfRule>
  </conditionalFormatting>
  <conditionalFormatting sqref="G34:G37">
    <cfRule type="expression" dxfId="32" priority="18">
      <formula>IF(G$31&gt;$F$29,1,0)</formula>
    </cfRule>
  </conditionalFormatting>
  <conditionalFormatting sqref="G32">
    <cfRule type="expression" dxfId="31" priority="17">
      <formula>IF(G$31&gt;$F$29,1,0)</formula>
    </cfRule>
  </conditionalFormatting>
  <conditionalFormatting sqref="G33">
    <cfRule type="expression" dxfId="30" priority="16">
      <formula>IF(G$31&lt;=$F$29,1,0)</formula>
    </cfRule>
  </conditionalFormatting>
  <conditionalFormatting sqref="G33">
    <cfRule type="expression" dxfId="29" priority="15">
      <formula>IF(G$31&gt;$F$29,1,0)</formula>
    </cfRule>
  </conditionalFormatting>
  <conditionalFormatting sqref="H34:H37">
    <cfRule type="expression" dxfId="28" priority="14">
      <formula>IF(H$31&lt;=$F$29,1,0)</formula>
    </cfRule>
  </conditionalFormatting>
  <conditionalFormatting sqref="H34:H37">
    <cfRule type="expression" dxfId="27" priority="13">
      <formula>IF(H$31&gt;$F$29,1,0)</formula>
    </cfRule>
  </conditionalFormatting>
  <conditionalFormatting sqref="H32">
    <cfRule type="expression" dxfId="26" priority="12">
      <formula>IF(H$31&gt;$F$29,1,0)</formula>
    </cfRule>
  </conditionalFormatting>
  <conditionalFormatting sqref="H33">
    <cfRule type="expression" dxfId="25" priority="11">
      <formula>IF(H$31&lt;=$F$29,1,0)</formula>
    </cfRule>
  </conditionalFormatting>
  <conditionalFormatting sqref="H33">
    <cfRule type="expression" dxfId="24" priority="10">
      <formula>IF(H$31&gt;$F$29,1,0)</formula>
    </cfRule>
  </conditionalFormatting>
  <conditionalFormatting sqref="I34:I37">
    <cfRule type="expression" dxfId="23" priority="9">
      <formula>IF(I$31&lt;=$F$29,1,0)</formula>
    </cfRule>
  </conditionalFormatting>
  <conditionalFormatting sqref="I34:I37">
    <cfRule type="expression" dxfId="22" priority="8">
      <formula>IF(I$31&gt;$F$29,1,0)</formula>
    </cfRule>
  </conditionalFormatting>
  <conditionalFormatting sqref="I32">
    <cfRule type="expression" dxfId="21" priority="7">
      <formula>IF(I$31&gt;$F$29,1,0)</formula>
    </cfRule>
  </conditionalFormatting>
  <conditionalFormatting sqref="I33">
    <cfRule type="expression" dxfId="20" priority="6">
      <formula>IF(I$31&lt;=$F$29,1,0)</formula>
    </cfRule>
  </conditionalFormatting>
  <conditionalFormatting sqref="I33">
    <cfRule type="expression" dxfId="19" priority="5">
      <formula>IF(I$31&gt;$F$29,1,0)</formula>
    </cfRule>
  </conditionalFormatting>
  <conditionalFormatting sqref="F11">
    <cfRule type="expression" dxfId="18" priority="4">
      <formula>IF(CELL("Zeile",F11)&lt;$D$46+CELL("Zeile",$D$48),1,0)</formula>
    </cfRule>
  </conditionalFormatting>
  <conditionalFormatting sqref="F11">
    <cfRule type="expression" dxfId="17" priority="3">
      <formula>IF(CELL(F11)&lt;$D$36+27,1,0)</formula>
    </cfRule>
  </conditionalFormatting>
  <conditionalFormatting sqref="E25">
    <cfRule type="expression" dxfId="16" priority="2">
      <formula>IF(CELL("Zeile",E25)&lt;$D$46+CELL("Zeile",$D$48),1,0)</formula>
    </cfRule>
  </conditionalFormatting>
  <conditionalFormatting sqref="E25">
    <cfRule type="expression" dxfId="15" priority="1">
      <formula>IF(CELL(E25)&lt;$D$36+27,1,0)</formula>
    </cfRule>
  </conditionalFormatting>
  <dataValidations count="16">
    <dataValidation type="list" allowBlank="1" showInputMessage="1" showErrorMessage="1" sqref="I37" xr:uid="{0C769F5C-3737-43CB-AFD5-4DBF5183B6CA}">
      <formula1>$R$37:$T$37</formula1>
    </dataValidation>
    <dataValidation type="list" errorStyle="warning" allowBlank="1" showInputMessage="1" showErrorMessage="1" errorTitle="Prognosezeitraum" error="Werte zwischen 0 - 240h" sqref="I34" xr:uid="{CAFABDDE-DACD-440D-B216-EDDF6A3ADD59}">
      <formula1>$R$34:$AC$34</formula1>
    </dataValidation>
    <dataValidation type="list" allowBlank="1" showInputMessage="1" showErrorMessage="1" sqref="E61:N61" xr:uid="{1FF7408D-E033-4268-B54C-1D1D475AE5C8}">
      <formula1>$R$27:$S$27</formula1>
    </dataValidation>
    <dataValidation type="list" allowBlank="1" showInputMessage="1" showErrorMessage="1" sqref="E26:N26" xr:uid="{BF568B73-BE8E-465E-BDAC-E4F1FE44BCFD}">
      <formula1>$R$26:$U$26</formula1>
    </dataValidation>
    <dataValidation type="list" allowBlank="1" showInputMessage="1" showErrorMessage="1" sqref="E70:N70 E36:N36" xr:uid="{E3B253C2-EF67-48AD-B6FC-94D4FE288E24}">
      <formula1>$R$36:$S$36</formula1>
    </dataValidation>
    <dataValidation type="list" allowBlank="1" showInputMessage="1" showErrorMessage="1" sqref="G14:G15" xr:uid="{2F9AC285-EC40-44D3-8D82-6DEC5FDBE204}">
      <formula1>$R$14:$AC$14</formula1>
    </dataValidation>
    <dataValidation type="list" allowBlank="1" showInputMessage="1" showErrorMessage="1" sqref="F14:F15" xr:uid="{8847498A-8F60-4411-A556-7F36849F3BA4}">
      <formula1>$R$15:$AV$15</formula1>
    </dataValidation>
    <dataValidation type="list" allowBlank="1" showInputMessage="1" showErrorMessage="1" sqref="F63" xr:uid="{BE04A877-F86A-416E-AF2B-986FAB343D40}">
      <formula1>$E$65:$N$65</formula1>
    </dataValidation>
    <dataValidation type="list" allowBlank="1" showInputMessage="1" showErrorMessage="1" sqref="F29" xr:uid="{FCB2F048-BC6C-4128-BE01-7B3C72B854C7}">
      <formula1>$E$31:$N$31</formula1>
    </dataValidation>
    <dataValidation type="list" allowBlank="1" showInputMessage="1" showErrorMessage="1" sqref="F18" xr:uid="{03521661-10B5-4439-BBA9-B5813BF5F8D4}">
      <formula1>$E$20:$N$20</formula1>
    </dataValidation>
    <dataValidation type="list" allowBlank="1" showInputMessage="1" showErrorMessage="1" sqref="F53" xr:uid="{EE99CADE-1262-4F9D-837A-6CD6F9528321}">
      <formula1>$E$55:$N$55</formula1>
    </dataValidation>
    <dataValidation type="list" allowBlank="1" showInputMessage="1" showErrorMessage="1" sqref="E58:N58 E23:N23" xr:uid="{DDA96646-310F-4580-8B5D-541CDA36DFC1}">
      <formula1>$R$23:$T$23</formula1>
    </dataValidation>
    <dataValidation type="list" allowBlank="1" showInputMessage="1" showErrorMessage="1" sqref="E69:N69 E35:N35" xr:uid="{0D2560F5-0555-422E-BE8E-7A5B5A3B80F7}">
      <formula1>$R$35:$S$35</formula1>
    </dataValidation>
    <dataValidation type="list" allowBlank="1" showInputMessage="1" showErrorMessage="1" errorTitle="Prognosezeitraum" error="Werte zwischen 0 - 240h" sqref="E68:N68 E34:H34 J34:N34" xr:uid="{704A63F1-FA1A-4BC2-922F-8B353D069DB5}">
      <formula1>$R$34:$AB$34</formula1>
    </dataValidation>
    <dataValidation type="list" allowBlank="1" showInputMessage="1" showErrorMessage="1" sqref="E71:N71 E37:H37 J37:N37" xr:uid="{F61E1760-A43B-4154-BC7C-A30F1AA9A013}">
      <formula1>$R$37:$S$37</formula1>
    </dataValidation>
    <dataValidation type="whole" allowBlank="1" showInputMessage="1" showErrorMessage="1" sqref="F9" xr:uid="{5FB2F29F-64A4-46BC-B428-09393CAE5531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E62:N71 E55 E56:E58 E60:E61" unlockedFormula="1"/>
    <ignoredError sqref="E6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D99DB3-1202-44D5-A1C3-830B0A89FF14}">
          <x14:formula1>
            <xm:f>'SLP-Verfahren'!$H$44:$V$44</xm:f>
          </x14:formula1>
          <xm:sqref>F10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J31" sqref="J31"/>
    </sheetView>
  </sheetViews>
  <sheetFormatPr baseColWidth="10" defaultColWidth="0" defaultRowHeight="14.4" zeroHeight="1"/>
  <cols>
    <col min="1" max="1" width="2.88671875" style="128" customWidth="1"/>
    <col min="2" max="2" width="8" style="128" customWidth="1"/>
    <col min="3" max="3" width="37.44140625" style="128" customWidth="1"/>
    <col min="4" max="4" width="10.6640625" style="128" customWidth="1"/>
    <col min="5" max="6" width="11.44140625" style="128" customWidth="1"/>
    <col min="8" max="8" width="12.6640625" style="128" customWidth="1"/>
    <col min="9" max="9" width="15.44140625" style="128" customWidth="1"/>
    <col min="10" max="11" width="12.6640625" style="128" customWidth="1"/>
    <col min="12" max="12" width="11.44140625" style="128" customWidth="1"/>
    <col min="13" max="16" width="12.6640625" style="128" customWidth="1"/>
    <col min="17" max="17" width="14.109375" style="128" customWidth="1"/>
    <col min="18" max="24" width="11.44140625" style="128" customWidth="1"/>
    <col min="25" max="25" width="20.109375" style="128" customWidth="1"/>
    <col min="26" max="26" width="11.44140625" style="128" customWidth="1"/>
    <col min="27" max="16384" width="11.44140625" style="128" hidden="1"/>
  </cols>
  <sheetData>
    <row r="1" spans="2:26" ht="75" customHeight="1" thickBot="1"/>
    <row r="2" spans="2:26" ht="23.4">
      <c r="B2" s="129" t="s">
        <v>371</v>
      </c>
    </row>
    <row r="3" spans="2:26">
      <c r="B3" s="130" t="s">
        <v>453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376</v>
      </c>
      <c r="D5" s="53" t="str">
        <f>Netzbetreiber!$D$9</f>
        <v>badenovaNETZE GmbH</v>
      </c>
      <c r="E5" s="130"/>
      <c r="H5" s="88" t="s">
        <v>486</v>
      </c>
      <c r="I5" s="131" t="s">
        <v>489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343</v>
      </c>
      <c r="D6" s="53" t="str">
        <f>Netzbetreiber!$D$28</f>
        <v>badenovaNETZE</v>
      </c>
      <c r="E6" s="130"/>
      <c r="F6" s="130"/>
      <c r="I6" s="131" t="s">
        <v>500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475</v>
      </c>
      <c r="D7" s="53" t="str">
        <f>Netzbetreiber!$D$11</f>
        <v>9800192200000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42644</v>
      </c>
      <c r="E8" s="130"/>
      <c r="F8" s="130"/>
      <c r="H8" s="128" t="s">
        <v>484</v>
      </c>
      <c r="J8" s="132">
        <f>COUNTA(D12:D24)</f>
        <v>13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3.8" thickBot="1">
      <c r="B10" s="134" t="s">
        <v>249</v>
      </c>
      <c r="C10" s="135" t="s">
        <v>482</v>
      </c>
      <c r="D10" s="134" t="s">
        <v>147</v>
      </c>
      <c r="E10" s="277" t="s">
        <v>502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614</v>
      </c>
      <c r="M10" s="150" t="s">
        <v>623</v>
      </c>
      <c r="N10" s="151" t="s">
        <v>624</v>
      </c>
      <c r="O10" s="151" t="s">
        <v>625</v>
      </c>
      <c r="P10" s="152" t="s">
        <v>626</v>
      </c>
      <c r="Q10" s="146" t="s">
        <v>615</v>
      </c>
      <c r="R10" s="136" t="s">
        <v>616</v>
      </c>
      <c r="S10" s="137" t="s">
        <v>617</v>
      </c>
      <c r="T10" s="137" t="s">
        <v>618</v>
      </c>
      <c r="U10" s="137" t="s">
        <v>619</v>
      </c>
      <c r="V10" s="137" t="s">
        <v>620</v>
      </c>
      <c r="W10" s="137" t="s">
        <v>621</v>
      </c>
      <c r="X10" s="138" t="s">
        <v>622</v>
      </c>
      <c r="Y10" s="305" t="s">
        <v>627</v>
      </c>
    </row>
    <row r="11" spans="2:26" ht="15" thickBot="1">
      <c r="B11" s="139" t="s">
        <v>485</v>
      </c>
      <c r="C11" s="140" t="s">
        <v>501</v>
      </c>
      <c r="D11" s="304" t="s">
        <v>248</v>
      </c>
      <c r="E11" s="164" t="s">
        <v>508</v>
      </c>
      <c r="F11" s="30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214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213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302">
        <v>365.12299999999999</v>
      </c>
    </row>
    <row r="12" spans="2:26">
      <c r="B12" s="141">
        <v>1</v>
      </c>
      <c r="C12" s="142" t="str">
        <f t="shared" ref="C12:C24" si="0">$D$6</f>
        <v>badenovaNETZE</v>
      </c>
      <c r="D12" s="62" t="s">
        <v>248</v>
      </c>
      <c r="E12" s="166" t="s">
        <v>483</v>
      </c>
      <c r="F12" s="365" t="str">
        <f>VLOOKUP($E12,'[1]BDEW-Standard'!$B$3:$M$158,F$9,0)</f>
        <v>1D3</v>
      </c>
      <c r="G12" s="8"/>
      <c r="H12" s="366">
        <f>ROUND(VLOOKUP($E12,'[1]BDEW-Standard'!$B$3:$M$158,H$9,0),7)</f>
        <v>1.6209544</v>
      </c>
      <c r="I12" s="366">
        <f>ROUND(VLOOKUP($E12,'[1]BDEW-Standard'!$B$3:$M$158,I$9,0),7)</f>
        <v>-37.183314099999997</v>
      </c>
      <c r="J12" s="366">
        <f>ROUND(VLOOKUP($E12,'[1]BDEW-Standard'!$B$3:$M$158,J$9,0),7)</f>
        <v>5.6727847000000002</v>
      </c>
      <c r="K12" s="366">
        <f>ROUND(VLOOKUP($E12,'[1]BDEW-Standard'!$B$3:$M$158,K$9,0),7)</f>
        <v>7.1643100000000001E-2</v>
      </c>
      <c r="L12" s="367">
        <f>ROUND(VLOOKUP($E12,'[1]BDEW-Standard'!$B$3:$M$158,L$9,0),1)</f>
        <v>40</v>
      </c>
      <c r="M12" s="366">
        <f>ROUND(VLOOKUP($E12,'[1]BDEW-Standard'!$B$3:$M$158,M$9,0),7)</f>
        <v>-4.9570000000000003E-2</v>
      </c>
      <c r="N12" s="366">
        <f>ROUND(VLOOKUP($E12,'[1]BDEW-Standard'!$B$3:$M$158,N$9,0),7)</f>
        <v>0.84010149999999995</v>
      </c>
      <c r="O12" s="366">
        <f>ROUND(VLOOKUP($E12,'[1]BDEW-Standard'!$B$3:$M$158,O$9,0),7)</f>
        <v>-2.209E-3</v>
      </c>
      <c r="P12" s="366">
        <f>ROUND(VLOOKUP($E12,'[1]BDEW-Standard'!$B$3:$M$158,P$9,0),7)</f>
        <v>0.1074468</v>
      </c>
      <c r="Q12" s="368">
        <f t="shared" ref="Q12:Q24" si="1">($H12/(1+($I12/($Q$9-$L12))^$J12)+$K12)+MAX($M12*$Q$9+$N12,$O12*$Q$9+$P12)</f>
        <v>1.0000001417752751</v>
      </c>
      <c r="R12" s="369">
        <f>ROUND(VLOOKUP(MID($E12,4,3),'[1]Wochentag F(WT)'!$B$7:$J$22,R$9,0),4)</f>
        <v>1</v>
      </c>
      <c r="S12" s="369">
        <f>ROUND(VLOOKUP(MID($E12,4,3),'[1]Wochentag F(WT)'!$B$7:$J$22,S$9,0),4)</f>
        <v>1</v>
      </c>
      <c r="T12" s="369">
        <f>ROUND(VLOOKUP(MID($E12,4,3),'[1]Wochentag F(WT)'!$B$7:$J$22,T$9,0),4)</f>
        <v>1</v>
      </c>
      <c r="U12" s="369">
        <f>ROUND(VLOOKUP(MID($E12,4,3),'[1]Wochentag F(WT)'!$B$7:$J$22,U$9,0),4)</f>
        <v>1</v>
      </c>
      <c r="V12" s="369">
        <f>ROUND(VLOOKUP(MID($E12,4,3),'[1]Wochentag F(WT)'!$B$7:$J$22,V$9,0),4)</f>
        <v>1</v>
      </c>
      <c r="W12" s="369">
        <f>ROUND(VLOOKUP(MID($E12,4,3),'[1]Wochentag F(WT)'!$B$7:$J$22,W$9,0),4)</f>
        <v>1</v>
      </c>
      <c r="X12" s="370">
        <f>7-SUM(R12:W12)</f>
        <v>1</v>
      </c>
      <c r="Y12" s="303">
        <v>350</v>
      </c>
      <c r="Z12" s="212"/>
    </row>
    <row r="13" spans="2:26" s="143" customFormat="1">
      <c r="B13" s="144">
        <v>2</v>
      </c>
      <c r="C13" s="145" t="str">
        <f t="shared" si="0"/>
        <v>badenovaNETZE</v>
      </c>
      <c r="D13" s="62" t="s">
        <v>248</v>
      </c>
      <c r="E13" s="166" t="s">
        <v>499</v>
      </c>
      <c r="F13" s="365" t="str">
        <f>VLOOKUP($E13,'[1]BDEW-Standard'!$B$3:$M$158,F$9,0)</f>
        <v>2D3</v>
      </c>
      <c r="H13" s="366">
        <f>ROUND(VLOOKUP($E13,'[1]BDEW-Standard'!$B$3:$M$158,H$9,0),7)</f>
        <v>1.2328654999999999</v>
      </c>
      <c r="I13" s="366">
        <f>ROUND(VLOOKUP($E13,'[1]BDEW-Standard'!$B$3:$M$158,I$9,0),7)</f>
        <v>-34.721360500000003</v>
      </c>
      <c r="J13" s="366">
        <f>ROUND(VLOOKUP($E13,'[1]BDEW-Standard'!$B$3:$M$158,J$9,0),7)</f>
        <v>5.8164303999999998</v>
      </c>
      <c r="K13" s="366">
        <f>ROUND(VLOOKUP($E13,'[1]BDEW-Standard'!$B$3:$M$158,K$9,0),7)</f>
        <v>8.7335200000000002E-2</v>
      </c>
      <c r="L13" s="367">
        <f>ROUND(VLOOKUP($E13,'[1]BDEW-Standard'!$B$3:$M$158,L$9,0),1)</f>
        <v>40</v>
      </c>
      <c r="M13" s="366">
        <f>ROUND(VLOOKUP($E13,'[1]BDEW-Standard'!$B$3:$M$158,M$9,0),7)</f>
        <v>-4.0928399999999997E-2</v>
      </c>
      <c r="N13" s="366">
        <f>ROUND(VLOOKUP($E13,'[1]BDEW-Standard'!$B$3:$M$158,N$9,0),7)</f>
        <v>0.76729199999999997</v>
      </c>
      <c r="O13" s="366">
        <f>ROUND(VLOOKUP($E13,'[1]BDEW-Standard'!$B$3:$M$158,O$9,0),7)</f>
        <v>-2.232E-3</v>
      </c>
      <c r="P13" s="366">
        <f>ROUND(VLOOKUP($E13,'[1]BDEW-Standard'!$B$3:$M$158,P$9,0),7)</f>
        <v>0.11992070000000001</v>
      </c>
      <c r="Q13" s="368">
        <f t="shared" si="1"/>
        <v>0.99999997653191475</v>
      </c>
      <c r="R13" s="369">
        <f>ROUND(VLOOKUP(MID($E13,4,3),'[1]Wochentag F(WT)'!$B$7:$J$22,R$9,0),4)</f>
        <v>1</v>
      </c>
      <c r="S13" s="369">
        <f>ROUND(VLOOKUP(MID($E13,4,3),'[1]Wochentag F(WT)'!$B$7:$J$22,S$9,0),4)</f>
        <v>1</v>
      </c>
      <c r="T13" s="369">
        <f>ROUND(VLOOKUP(MID($E13,4,3),'[1]Wochentag F(WT)'!$B$7:$J$22,T$9,0),4)</f>
        <v>1</v>
      </c>
      <c r="U13" s="369">
        <f>ROUND(VLOOKUP(MID($E13,4,3),'[1]Wochentag F(WT)'!$B$7:$J$22,U$9,0),4)</f>
        <v>1</v>
      </c>
      <c r="V13" s="369">
        <f>ROUND(VLOOKUP(MID($E13,4,3),'[1]Wochentag F(WT)'!$B$7:$J$22,V$9,0),4)</f>
        <v>1</v>
      </c>
      <c r="W13" s="369">
        <f>ROUND(VLOOKUP(MID($E13,4,3),'[1]Wochentag F(WT)'!$B$7:$J$22,W$9,0),4)</f>
        <v>1</v>
      </c>
      <c r="X13" s="370">
        <f t="shared" ref="X13:X24" si="2">7-SUM(R13:W13)</f>
        <v>1</v>
      </c>
      <c r="Y13" s="303">
        <v>350</v>
      </c>
      <c r="Z13" s="212"/>
    </row>
    <row r="14" spans="2:26" s="143" customFormat="1">
      <c r="B14" s="144">
        <v>3</v>
      </c>
      <c r="C14" s="145" t="str">
        <f t="shared" si="0"/>
        <v>badenovaNETZE</v>
      </c>
      <c r="D14" s="62" t="s">
        <v>248</v>
      </c>
      <c r="E14" s="166" t="s">
        <v>250</v>
      </c>
      <c r="F14" s="365" t="str">
        <f>VLOOKUP($E14,'[1]BDEW-Standard'!$B$3:$M$158,F$9,0)</f>
        <v>KM3</v>
      </c>
      <c r="H14" s="366">
        <f>ROUND(VLOOKUP($E14,'[1]BDEW-Standard'!$B$3:$M$158,H$9,0),7)</f>
        <v>1.4202418999999999</v>
      </c>
      <c r="I14" s="366">
        <f>ROUND(VLOOKUP($E14,'[1]BDEW-Standard'!$B$3:$M$158,I$9,0),7)</f>
        <v>-34.880612999999997</v>
      </c>
      <c r="J14" s="366">
        <f>ROUND(VLOOKUP($E14,'[1]BDEW-Standard'!$B$3:$M$158,J$9,0),7)</f>
        <v>6.5951899000000003</v>
      </c>
      <c r="K14" s="366">
        <f>ROUND(VLOOKUP($E14,'[1]BDEW-Standard'!$B$3:$M$158,K$9,0),7)</f>
        <v>3.8531700000000002E-2</v>
      </c>
      <c r="L14" s="367">
        <f>ROUND(VLOOKUP($E14,'[1]BDEW-Standard'!$B$3:$M$158,L$9,0),1)</f>
        <v>40</v>
      </c>
      <c r="M14" s="366">
        <f>ROUND(VLOOKUP($E14,'[1]BDEW-Standard'!$B$3:$M$158,M$9,0),7)</f>
        <v>-5.2108399999999999E-2</v>
      </c>
      <c r="N14" s="366">
        <f>ROUND(VLOOKUP($E14,'[1]BDEW-Standard'!$B$3:$M$158,N$9,0),7)</f>
        <v>0.86479189999999995</v>
      </c>
      <c r="O14" s="366">
        <f>ROUND(VLOOKUP($E14,'[1]BDEW-Standard'!$B$3:$M$158,O$9,0),7)</f>
        <v>-1.4369000000000001E-3</v>
      </c>
      <c r="P14" s="366">
        <f>ROUND(VLOOKUP($E14,'[1]BDEW-Standard'!$B$3:$M$158,P$9,0),7)</f>
        <v>6.3760200000000003E-2</v>
      </c>
      <c r="Q14" s="368">
        <f t="shared" si="1"/>
        <v>1.0000002125085892</v>
      </c>
      <c r="R14" s="369">
        <f>ROUND(VLOOKUP(MID($E14,4,3),'[1]Wochentag F(WT)'!$B$7:$J$22,R$9,0),4)</f>
        <v>1.0699000000000001</v>
      </c>
      <c r="S14" s="369">
        <f>ROUND(VLOOKUP(MID($E14,4,3),'[1]Wochentag F(WT)'!$B$7:$J$22,S$9,0),4)</f>
        <v>1.0365</v>
      </c>
      <c r="T14" s="369">
        <f>ROUND(VLOOKUP(MID($E14,4,3),'[1]Wochentag F(WT)'!$B$7:$J$22,T$9,0),4)</f>
        <v>0.99329999999999996</v>
      </c>
      <c r="U14" s="369">
        <f>ROUND(VLOOKUP(MID($E14,4,3),'[1]Wochentag F(WT)'!$B$7:$J$22,U$9,0),4)</f>
        <v>0.99480000000000002</v>
      </c>
      <c r="V14" s="369">
        <f>ROUND(VLOOKUP(MID($E14,4,3),'[1]Wochentag F(WT)'!$B$7:$J$22,V$9,0),4)</f>
        <v>1.0659000000000001</v>
      </c>
      <c r="W14" s="369">
        <f>ROUND(VLOOKUP(MID($E14,4,3),'[1]Wochentag F(WT)'!$B$7:$J$22,W$9,0),4)</f>
        <v>0.93620000000000003</v>
      </c>
      <c r="X14" s="370">
        <f t="shared" si="2"/>
        <v>0.90339999999999954</v>
      </c>
      <c r="Y14" s="303">
        <v>350</v>
      </c>
      <c r="Z14" s="212"/>
    </row>
    <row r="15" spans="2:26" s="143" customFormat="1">
      <c r="B15" s="144">
        <v>4</v>
      </c>
      <c r="C15" s="145" t="str">
        <f t="shared" si="0"/>
        <v>badenovaNETZE</v>
      </c>
      <c r="D15" s="62" t="s">
        <v>248</v>
      </c>
      <c r="E15" s="166" t="s">
        <v>252</v>
      </c>
      <c r="F15" s="365" t="str">
        <f>VLOOKUP($E15,'[1]BDEW-Standard'!$B$3:$M$158,F$9,0)</f>
        <v>OK3</v>
      </c>
      <c r="H15" s="366">
        <f>ROUND(VLOOKUP($E15,'[1]BDEW-Standard'!$B$3:$M$158,H$9,0),7)</f>
        <v>1.3554515</v>
      </c>
      <c r="I15" s="366">
        <f>ROUND(VLOOKUP($E15,'[1]BDEW-Standard'!$B$3:$M$158,I$9,0),7)</f>
        <v>-35.141256300000002</v>
      </c>
      <c r="J15" s="366">
        <f>ROUND(VLOOKUP($E15,'[1]BDEW-Standard'!$B$3:$M$158,J$9,0),7)</f>
        <v>7.1303394999999998</v>
      </c>
      <c r="K15" s="366">
        <f>ROUND(VLOOKUP($E15,'[1]BDEW-Standard'!$B$3:$M$158,K$9,0),7)</f>
        <v>9.9061899999999994E-2</v>
      </c>
      <c r="L15" s="367">
        <f>ROUND(VLOOKUP($E15,'[1]BDEW-Standard'!$B$3:$M$158,L$9,0),1)</f>
        <v>40</v>
      </c>
      <c r="M15" s="366">
        <f>ROUND(VLOOKUP($E15,'[1]BDEW-Standard'!$B$3:$M$158,M$9,0),7)</f>
        <v>-5.26487E-2</v>
      </c>
      <c r="N15" s="366">
        <f>ROUND(VLOOKUP($E15,'[1]BDEW-Standard'!$B$3:$M$158,N$9,0),7)</f>
        <v>0.86260859999999995</v>
      </c>
      <c r="O15" s="366">
        <f>ROUND(VLOOKUP($E15,'[1]BDEW-Standard'!$B$3:$M$158,O$9,0),7)</f>
        <v>-8.8080000000000005E-4</v>
      </c>
      <c r="P15" s="366">
        <f>ROUND(VLOOKUP($E15,'[1]BDEW-Standard'!$B$3:$M$158,P$9,0),7)</f>
        <v>9.6401399999999998E-2</v>
      </c>
      <c r="Q15" s="368">
        <f t="shared" si="1"/>
        <v>0.99999998782262245</v>
      </c>
      <c r="R15" s="369">
        <f>ROUND(VLOOKUP(MID($E15,4,3),'[1]Wochentag F(WT)'!$B$7:$J$22,R$9,0),4)</f>
        <v>1.0354000000000001</v>
      </c>
      <c r="S15" s="369">
        <f>ROUND(VLOOKUP(MID($E15,4,3),'[1]Wochentag F(WT)'!$B$7:$J$22,S$9,0),4)</f>
        <v>1.0523</v>
      </c>
      <c r="T15" s="369">
        <f>ROUND(VLOOKUP(MID($E15,4,3),'[1]Wochentag F(WT)'!$B$7:$J$22,T$9,0),4)</f>
        <v>1.0448999999999999</v>
      </c>
      <c r="U15" s="369">
        <f>ROUND(VLOOKUP(MID($E15,4,3),'[1]Wochentag F(WT)'!$B$7:$J$22,U$9,0),4)</f>
        <v>1.0494000000000001</v>
      </c>
      <c r="V15" s="369">
        <f>ROUND(VLOOKUP(MID($E15,4,3),'[1]Wochentag F(WT)'!$B$7:$J$22,V$9,0),4)</f>
        <v>0.98850000000000005</v>
      </c>
      <c r="W15" s="369">
        <f>ROUND(VLOOKUP(MID($E15,4,3),'[1]Wochentag F(WT)'!$B$7:$J$22,W$9,0),4)</f>
        <v>0.88600000000000001</v>
      </c>
      <c r="X15" s="370">
        <f t="shared" si="2"/>
        <v>0.94349999999999934</v>
      </c>
      <c r="Y15" s="303">
        <v>350</v>
      </c>
      <c r="Z15" s="212"/>
    </row>
    <row r="16" spans="2:26" s="143" customFormat="1">
      <c r="B16" s="144">
        <v>5</v>
      </c>
      <c r="C16" s="145" t="str">
        <f t="shared" si="0"/>
        <v>badenovaNETZE</v>
      </c>
      <c r="D16" s="62" t="s">
        <v>248</v>
      </c>
      <c r="E16" s="166" t="s">
        <v>251</v>
      </c>
      <c r="F16" s="365" t="str">
        <f>VLOOKUP($E16,'[1]BDEW-Standard'!$B$3:$M$158,F$9,0)</f>
        <v>AH3</v>
      </c>
      <c r="H16" s="366">
        <f>ROUND(VLOOKUP($E16,'[1]BDEW-Standard'!$B$3:$M$158,H$9,0),7)</f>
        <v>1.9724775000000001</v>
      </c>
      <c r="I16" s="366">
        <f>ROUND(VLOOKUP($E16,'[1]BDEW-Standard'!$B$3:$M$158,I$9,0),7)</f>
        <v>-36.965006500000001</v>
      </c>
      <c r="J16" s="366">
        <f>ROUND(VLOOKUP($E16,'[1]BDEW-Standard'!$B$3:$M$158,J$9,0),7)</f>
        <v>7.2256947</v>
      </c>
      <c r="K16" s="366">
        <f>ROUND(VLOOKUP($E16,'[1]BDEW-Standard'!$B$3:$M$158,K$9,0),7)</f>
        <v>3.4578200000000003E-2</v>
      </c>
      <c r="L16" s="367">
        <f>ROUND(VLOOKUP($E16,'[1]BDEW-Standard'!$B$3:$M$158,L$9,0),1)</f>
        <v>40</v>
      </c>
      <c r="M16" s="366">
        <f>ROUND(VLOOKUP($E16,'[1]BDEW-Standard'!$B$3:$M$158,M$9,0),7)</f>
        <v>-7.4217400000000003E-2</v>
      </c>
      <c r="N16" s="366">
        <f>ROUND(VLOOKUP($E16,'[1]BDEW-Standard'!$B$3:$M$158,N$9,0),7)</f>
        <v>1.0448869000000001</v>
      </c>
      <c r="O16" s="366">
        <f>ROUND(VLOOKUP($E16,'[1]BDEW-Standard'!$B$3:$M$158,O$9,0),7)</f>
        <v>-8.2950000000000005E-4</v>
      </c>
      <c r="P16" s="366">
        <f>ROUND(VLOOKUP($E16,'[1]BDEW-Standard'!$B$3:$M$158,P$9,0),7)</f>
        <v>4.6179499999999998E-2</v>
      </c>
      <c r="Q16" s="368">
        <f t="shared" si="1"/>
        <v>1.0000000832749945</v>
      </c>
      <c r="R16" s="369">
        <f>ROUND(VLOOKUP(MID($E16,4,3),'[1]Wochentag F(WT)'!$B$7:$J$22,R$9,0),4)</f>
        <v>1.0358000000000001</v>
      </c>
      <c r="S16" s="369">
        <f>ROUND(VLOOKUP(MID($E16,4,3),'[1]Wochentag F(WT)'!$B$7:$J$22,S$9,0),4)</f>
        <v>1.0232000000000001</v>
      </c>
      <c r="T16" s="369">
        <f>ROUND(VLOOKUP(MID($E16,4,3),'[1]Wochentag F(WT)'!$B$7:$J$22,T$9,0),4)</f>
        <v>1.0251999999999999</v>
      </c>
      <c r="U16" s="369">
        <f>ROUND(VLOOKUP(MID($E16,4,3),'[1]Wochentag F(WT)'!$B$7:$J$22,U$9,0),4)</f>
        <v>1.0295000000000001</v>
      </c>
      <c r="V16" s="369">
        <f>ROUND(VLOOKUP(MID($E16,4,3),'[1]Wochentag F(WT)'!$B$7:$J$22,V$9,0),4)</f>
        <v>1.0253000000000001</v>
      </c>
      <c r="W16" s="369">
        <f>ROUND(VLOOKUP(MID($E16,4,3),'[1]Wochentag F(WT)'!$B$7:$J$22,W$9,0),4)</f>
        <v>0.96750000000000003</v>
      </c>
      <c r="X16" s="370">
        <f t="shared" si="2"/>
        <v>0.89350000000000041</v>
      </c>
      <c r="Y16" s="303">
        <v>350</v>
      </c>
      <c r="Z16" s="212"/>
    </row>
    <row r="17" spans="2:26" s="143" customFormat="1">
      <c r="B17" s="144">
        <v>6</v>
      </c>
      <c r="C17" s="145" t="str">
        <f t="shared" si="0"/>
        <v>badenovaNETZE</v>
      </c>
      <c r="D17" s="62" t="s">
        <v>248</v>
      </c>
      <c r="E17" s="166" t="s">
        <v>253</v>
      </c>
      <c r="F17" s="365" t="str">
        <f>VLOOKUP($E17,'[1]BDEW-Standard'!$B$3:$M$158,F$9,0)</f>
        <v>DB3</v>
      </c>
      <c r="H17" s="366">
        <f>ROUND(VLOOKUP($E17,'[1]BDEW-Standard'!$B$3:$M$158,H$9,0),7)</f>
        <v>1.4633681999999999</v>
      </c>
      <c r="I17" s="366">
        <f>ROUND(VLOOKUP($E17,'[1]BDEW-Standard'!$B$3:$M$158,I$9,0),7)</f>
        <v>-36.179411700000003</v>
      </c>
      <c r="J17" s="366">
        <f>ROUND(VLOOKUP($E17,'[1]BDEW-Standard'!$B$3:$M$158,J$9,0),7)</f>
        <v>5.9265162</v>
      </c>
      <c r="K17" s="366">
        <f>ROUND(VLOOKUP($E17,'[1]BDEW-Standard'!$B$3:$M$158,K$9,0),7)</f>
        <v>8.0883499999999997E-2</v>
      </c>
      <c r="L17" s="367">
        <f>ROUND(VLOOKUP($E17,'[1]BDEW-Standard'!$B$3:$M$158,L$9,0),1)</f>
        <v>40</v>
      </c>
      <c r="M17" s="366">
        <f>ROUND(VLOOKUP($E17,'[1]BDEW-Standard'!$B$3:$M$158,M$9,0),7)</f>
        <v>-4.7579999999999997E-2</v>
      </c>
      <c r="N17" s="366">
        <f>ROUND(VLOOKUP($E17,'[1]BDEW-Standard'!$B$3:$M$158,N$9,0),7)</f>
        <v>0.82307540000000001</v>
      </c>
      <c r="O17" s="366">
        <f>ROUND(VLOOKUP($E17,'[1]BDEW-Standard'!$B$3:$M$158,O$9,0),7)</f>
        <v>-1.9273000000000001E-3</v>
      </c>
      <c r="P17" s="366">
        <f>ROUND(VLOOKUP($E17,'[1]BDEW-Standard'!$B$3:$M$158,P$9,0),7)</f>
        <v>0.1077046</v>
      </c>
      <c r="Q17" s="368">
        <f t="shared" si="1"/>
        <v>0.99999993818735389</v>
      </c>
      <c r="R17" s="369">
        <f>ROUND(VLOOKUP(MID($E17,4,3),'[1]Wochentag F(WT)'!$B$7:$J$22,R$9,0),4)</f>
        <v>1.1052</v>
      </c>
      <c r="S17" s="369">
        <f>ROUND(VLOOKUP(MID($E17,4,3),'[1]Wochentag F(WT)'!$B$7:$J$22,S$9,0),4)</f>
        <v>1.0857000000000001</v>
      </c>
      <c r="T17" s="369">
        <f>ROUND(VLOOKUP(MID($E17,4,3),'[1]Wochentag F(WT)'!$B$7:$J$22,T$9,0),4)</f>
        <v>1.0378000000000001</v>
      </c>
      <c r="U17" s="369">
        <f>ROUND(VLOOKUP(MID($E17,4,3),'[1]Wochentag F(WT)'!$B$7:$J$22,U$9,0),4)</f>
        <v>1.0622</v>
      </c>
      <c r="V17" s="369">
        <f>ROUND(VLOOKUP(MID($E17,4,3),'[1]Wochentag F(WT)'!$B$7:$J$22,V$9,0),4)</f>
        <v>1.0266</v>
      </c>
      <c r="W17" s="369">
        <f>ROUND(VLOOKUP(MID($E17,4,3),'[1]Wochentag F(WT)'!$B$7:$J$22,W$9,0),4)</f>
        <v>0.76290000000000002</v>
      </c>
      <c r="X17" s="370">
        <f t="shared" si="2"/>
        <v>0.91959999999999997</v>
      </c>
      <c r="Y17" s="303">
        <v>350</v>
      </c>
      <c r="Z17" s="212"/>
    </row>
    <row r="18" spans="2:26" s="143" customFormat="1">
      <c r="B18" s="144">
        <v>7</v>
      </c>
      <c r="C18" s="145" t="str">
        <f t="shared" si="0"/>
        <v>badenovaNETZE</v>
      </c>
      <c r="D18" s="62" t="s">
        <v>248</v>
      </c>
      <c r="E18" s="166" t="s">
        <v>258</v>
      </c>
      <c r="F18" s="365" t="str">
        <f>VLOOKUP($E18,'[1]BDEW-Standard'!$B$3:$M$158,F$9,0)</f>
        <v>HB3</v>
      </c>
      <c r="H18" s="366">
        <f>ROUND(VLOOKUP($E18,'[1]BDEW-Standard'!$B$3:$M$158,H$9,0),7)</f>
        <v>0.98742830000000004</v>
      </c>
      <c r="I18" s="366">
        <f>ROUND(VLOOKUP($E18,'[1]BDEW-Standard'!$B$3:$M$158,I$9,0),7)</f>
        <v>-35.253212400000002</v>
      </c>
      <c r="J18" s="366">
        <f>ROUND(VLOOKUP($E18,'[1]BDEW-Standard'!$B$3:$M$158,J$9,0),7)</f>
        <v>6.1544406</v>
      </c>
      <c r="K18" s="366">
        <f>ROUND(VLOOKUP($E18,'[1]BDEW-Standard'!$B$3:$M$158,K$9,0),7)</f>
        <v>0.22657160000000001</v>
      </c>
      <c r="L18" s="367">
        <f>ROUND(VLOOKUP($E18,'[1]BDEW-Standard'!$B$3:$M$158,L$9,0),1)</f>
        <v>40</v>
      </c>
      <c r="M18" s="366">
        <f>ROUND(VLOOKUP($E18,'[1]BDEW-Standard'!$B$3:$M$158,M$9,0),7)</f>
        <v>-3.3902000000000002E-2</v>
      </c>
      <c r="N18" s="366">
        <f>ROUND(VLOOKUP($E18,'[1]BDEW-Standard'!$B$3:$M$158,N$9,0),7)</f>
        <v>0.69382339999999998</v>
      </c>
      <c r="O18" s="366">
        <f>ROUND(VLOOKUP($E18,'[1]BDEW-Standard'!$B$3:$M$158,O$9,0),7)</f>
        <v>-1.2849000000000001E-3</v>
      </c>
      <c r="P18" s="366">
        <f>ROUND(VLOOKUP($E18,'[1]BDEW-Standard'!$B$3:$M$158,P$9,0),7)</f>
        <v>0.20297319999999999</v>
      </c>
      <c r="Q18" s="368">
        <f t="shared" si="1"/>
        <v>0.99999983700977324</v>
      </c>
      <c r="R18" s="369">
        <f>ROUND(VLOOKUP(MID($E18,4,3),'[1]Wochentag F(WT)'!$B$7:$J$22,R$9,0),4)</f>
        <v>0.97670000000000001</v>
      </c>
      <c r="S18" s="369">
        <f>ROUND(VLOOKUP(MID($E18,4,3),'[1]Wochentag F(WT)'!$B$7:$J$22,S$9,0),4)</f>
        <v>1.0388999999999999</v>
      </c>
      <c r="T18" s="369">
        <f>ROUND(VLOOKUP(MID($E18,4,3),'[1]Wochentag F(WT)'!$B$7:$J$22,T$9,0),4)</f>
        <v>1.0027999999999999</v>
      </c>
      <c r="U18" s="369">
        <f>ROUND(VLOOKUP(MID($E18,4,3),'[1]Wochentag F(WT)'!$B$7:$J$22,U$9,0),4)</f>
        <v>1.0162</v>
      </c>
      <c r="V18" s="369">
        <f>ROUND(VLOOKUP(MID($E18,4,3),'[1]Wochentag F(WT)'!$B$7:$J$22,V$9,0),4)</f>
        <v>1.0024</v>
      </c>
      <c r="W18" s="369">
        <f>ROUND(VLOOKUP(MID($E18,4,3),'[1]Wochentag F(WT)'!$B$7:$J$22,W$9,0),4)</f>
        <v>1.0043</v>
      </c>
      <c r="X18" s="370">
        <f t="shared" si="2"/>
        <v>0.95870000000000122</v>
      </c>
      <c r="Y18" s="303">
        <v>350</v>
      </c>
      <c r="Z18" s="212"/>
    </row>
    <row r="19" spans="2:26" s="143" customFormat="1">
      <c r="B19" s="144">
        <v>8</v>
      </c>
      <c r="C19" s="145" t="str">
        <f t="shared" si="0"/>
        <v>badenovaNETZE</v>
      </c>
      <c r="D19" s="62" t="s">
        <v>248</v>
      </c>
      <c r="E19" s="166" t="s">
        <v>254</v>
      </c>
      <c r="F19" s="365" t="str">
        <f>VLOOKUP($E19,'[1]BDEW-Standard'!$B$3:$M$158,F$9,0)</f>
        <v>AG3</v>
      </c>
      <c r="H19" s="366">
        <f>ROUND(VLOOKUP($E19,'[1]BDEW-Standard'!$B$3:$M$158,H$9,0),7)</f>
        <v>1.1582082</v>
      </c>
      <c r="I19" s="366">
        <f>ROUND(VLOOKUP($E19,'[1]BDEW-Standard'!$B$3:$M$158,I$9,0),7)</f>
        <v>-36.287858399999998</v>
      </c>
      <c r="J19" s="366">
        <f>ROUND(VLOOKUP($E19,'[1]BDEW-Standard'!$B$3:$M$158,J$9,0),7)</f>
        <v>6.5885125999999996</v>
      </c>
      <c r="K19" s="366">
        <f>ROUND(VLOOKUP($E19,'[1]BDEW-Standard'!$B$3:$M$158,K$9,0),7)</f>
        <v>0.22356799999999999</v>
      </c>
      <c r="L19" s="367">
        <f>ROUND(VLOOKUP($E19,'[1]BDEW-Standard'!$B$3:$M$158,L$9,0),1)</f>
        <v>40</v>
      </c>
      <c r="M19" s="366">
        <f>ROUND(VLOOKUP($E19,'[1]BDEW-Standard'!$B$3:$M$158,M$9,0),7)</f>
        <v>-4.1033500000000001E-2</v>
      </c>
      <c r="N19" s="366">
        <f>ROUND(VLOOKUP($E19,'[1]BDEW-Standard'!$B$3:$M$158,N$9,0),7)</f>
        <v>0.75264509999999996</v>
      </c>
      <c r="O19" s="366">
        <f>ROUND(VLOOKUP($E19,'[1]BDEW-Standard'!$B$3:$M$158,O$9,0),7)</f>
        <v>-9.0879999999999997E-4</v>
      </c>
      <c r="P19" s="366">
        <f>ROUND(VLOOKUP($E19,'[1]BDEW-Standard'!$B$3:$M$158,P$9,0),7)</f>
        <v>0.1916641</v>
      </c>
      <c r="Q19" s="368">
        <f t="shared" si="1"/>
        <v>0.99999977999083423</v>
      </c>
      <c r="R19" s="369">
        <f>ROUND(VLOOKUP(MID($E19,4,3),'[1]Wochentag F(WT)'!$B$7:$J$22,R$9,0),4)</f>
        <v>0.93220000000000003</v>
      </c>
      <c r="S19" s="369">
        <f>ROUND(VLOOKUP(MID($E19,4,3),'[1]Wochentag F(WT)'!$B$7:$J$22,S$9,0),4)</f>
        <v>0.98939999999999995</v>
      </c>
      <c r="T19" s="369">
        <f>ROUND(VLOOKUP(MID($E19,4,3),'[1]Wochentag F(WT)'!$B$7:$J$22,T$9,0),4)</f>
        <v>1.0033000000000001</v>
      </c>
      <c r="U19" s="369">
        <f>ROUND(VLOOKUP(MID($E19,4,3),'[1]Wochentag F(WT)'!$B$7:$J$22,U$9,0),4)</f>
        <v>1.0108999999999999</v>
      </c>
      <c r="V19" s="369">
        <f>ROUND(VLOOKUP(MID($E19,4,3),'[1]Wochentag F(WT)'!$B$7:$J$22,V$9,0),4)</f>
        <v>1.018</v>
      </c>
      <c r="W19" s="369">
        <f>ROUND(VLOOKUP(MID($E19,4,3),'[1]Wochentag F(WT)'!$B$7:$J$22,W$9,0),4)</f>
        <v>1.0356000000000001</v>
      </c>
      <c r="X19" s="370">
        <f t="shared" si="2"/>
        <v>1.0106000000000002</v>
      </c>
      <c r="Y19" s="303">
        <v>350</v>
      </c>
      <c r="Z19" s="212"/>
    </row>
    <row r="20" spans="2:26" s="143" customFormat="1">
      <c r="B20" s="144">
        <v>9</v>
      </c>
      <c r="C20" s="145" t="str">
        <f t="shared" si="0"/>
        <v>badenovaNETZE</v>
      </c>
      <c r="D20" s="62" t="s">
        <v>248</v>
      </c>
      <c r="E20" s="166" t="s">
        <v>653</v>
      </c>
      <c r="F20" s="365" t="str">
        <f>VLOOKUP($E20,'[1]BDEW-Standard'!$B$3:$M$158,F$9,0)</f>
        <v>AB3</v>
      </c>
      <c r="H20" s="366">
        <f>ROUND(VLOOKUP($E20,'[1]BDEW-Standard'!$B$3:$M$158,H$9,0),7)</f>
        <v>0.2770087</v>
      </c>
      <c r="I20" s="366">
        <f>ROUND(VLOOKUP($E20,'[1]BDEW-Standard'!$B$3:$M$158,I$9,0),7)</f>
        <v>-33</v>
      </c>
      <c r="J20" s="366">
        <f>ROUND(VLOOKUP($E20,'[1]BDEW-Standard'!$B$3:$M$158,J$9,0),7)</f>
        <v>5.7212303000000002</v>
      </c>
      <c r="K20" s="366">
        <f>ROUND(VLOOKUP($E20,'[1]BDEW-Standard'!$B$3:$M$158,K$9,0),7)</f>
        <v>0.48651179999999999</v>
      </c>
      <c r="L20" s="367">
        <f>ROUND(VLOOKUP($E20,'[1]BDEW-Standard'!$B$3:$M$158,L$9,0),1)</f>
        <v>40</v>
      </c>
      <c r="M20" s="366">
        <f>ROUND(VLOOKUP($E20,'[1]BDEW-Standard'!$B$3:$M$158,M$9,0),7)</f>
        <v>-9.4848999999999992E-3</v>
      </c>
      <c r="N20" s="366">
        <f>ROUND(VLOOKUP($E20,'[1]BDEW-Standard'!$B$3:$M$158,N$9,0),7)</f>
        <v>0.46302369999999998</v>
      </c>
      <c r="O20" s="366">
        <f>ROUND(VLOOKUP($E20,'[1]BDEW-Standard'!$B$3:$M$158,O$9,0),7)</f>
        <v>-7.1339999999999999E-4</v>
      </c>
      <c r="P20" s="366">
        <f>ROUND(VLOOKUP($E20,'[1]BDEW-Standard'!$B$3:$M$158,P$9,0),7)</f>
        <v>0.3867447</v>
      </c>
      <c r="Q20" s="368">
        <f t="shared" si="1"/>
        <v>1.0000000764227039</v>
      </c>
      <c r="R20" s="369">
        <f>ROUND(VLOOKUP(MID($E20,4,3),'[1]Wochentag F(WT)'!$B$7:$J$22,R$9,0),4)</f>
        <v>1.0848</v>
      </c>
      <c r="S20" s="369">
        <f>ROUND(VLOOKUP(MID($E20,4,3),'[1]Wochentag F(WT)'!$B$7:$J$22,S$9,0),4)</f>
        <v>1.1211</v>
      </c>
      <c r="T20" s="369">
        <f>ROUND(VLOOKUP(MID($E20,4,3),'[1]Wochentag F(WT)'!$B$7:$J$22,T$9,0),4)</f>
        <v>1.0769</v>
      </c>
      <c r="U20" s="369">
        <f>ROUND(VLOOKUP(MID($E20,4,3),'[1]Wochentag F(WT)'!$B$7:$J$22,U$9,0),4)</f>
        <v>1.1353</v>
      </c>
      <c r="V20" s="369">
        <f>ROUND(VLOOKUP(MID($E20,4,3),'[1]Wochentag F(WT)'!$B$7:$J$22,V$9,0),4)</f>
        <v>1.1402000000000001</v>
      </c>
      <c r="W20" s="369">
        <f>ROUND(VLOOKUP(MID($E20,4,3),'[1]Wochentag F(WT)'!$B$7:$J$22,W$9,0),4)</f>
        <v>0.48520000000000002</v>
      </c>
      <c r="X20" s="370">
        <f t="shared" si="2"/>
        <v>0.95650000000000013</v>
      </c>
      <c r="Y20" s="303">
        <v>350</v>
      </c>
      <c r="Z20" s="212"/>
    </row>
    <row r="21" spans="2:26" s="143" customFormat="1">
      <c r="B21" s="144">
        <v>10</v>
      </c>
      <c r="C21" s="145" t="str">
        <f t="shared" si="0"/>
        <v>badenovaNETZE</v>
      </c>
      <c r="D21" s="62" t="s">
        <v>248</v>
      </c>
      <c r="E21" s="166" t="s">
        <v>255</v>
      </c>
      <c r="F21" s="365" t="str">
        <f>VLOOKUP($E21,'[1]BDEW-Standard'!$B$3:$M$158,F$9,0)</f>
        <v>AW3</v>
      </c>
      <c r="H21" s="366">
        <f>ROUND(VLOOKUP($E21,'[1]BDEW-Standard'!$B$3:$M$158,H$9,0),7)</f>
        <v>0.33378380000000002</v>
      </c>
      <c r="I21" s="366">
        <f>ROUND(VLOOKUP($E21,'[1]BDEW-Standard'!$B$3:$M$158,I$9,0),7)</f>
        <v>-36.023791199999998</v>
      </c>
      <c r="J21" s="366">
        <f>ROUND(VLOOKUP($E21,'[1]BDEW-Standard'!$B$3:$M$158,J$9,0),7)</f>
        <v>4.8662747</v>
      </c>
      <c r="K21" s="366">
        <f>ROUND(VLOOKUP($E21,'[1]BDEW-Standard'!$B$3:$M$158,K$9,0),7)</f>
        <v>0.491228</v>
      </c>
      <c r="L21" s="367">
        <f>ROUND(VLOOKUP($E21,'[1]BDEW-Standard'!$B$3:$M$158,L$9,0),1)</f>
        <v>40</v>
      </c>
      <c r="M21" s="366">
        <f>ROUND(VLOOKUP($E21,'[1]BDEW-Standard'!$B$3:$M$158,M$9,0),7)</f>
        <v>-9.2262999999999998E-3</v>
      </c>
      <c r="N21" s="366">
        <f>ROUND(VLOOKUP($E21,'[1]BDEW-Standard'!$B$3:$M$158,N$9,0),7)</f>
        <v>0.45957569999999998</v>
      </c>
      <c r="O21" s="366">
        <f>ROUND(VLOOKUP($E21,'[1]BDEW-Standard'!$B$3:$M$158,O$9,0),7)</f>
        <v>-9.6759999999999999E-4</v>
      </c>
      <c r="P21" s="366">
        <f>ROUND(VLOOKUP($E21,'[1]BDEW-Standard'!$B$3:$M$158,P$9,0),7)</f>
        <v>0.39642909999999998</v>
      </c>
      <c r="Q21" s="368">
        <f t="shared" si="1"/>
        <v>1.000000394217609</v>
      </c>
      <c r="R21" s="369">
        <f>ROUND(VLOOKUP(MID($E21,4,3),'[1]Wochentag F(WT)'!$B$7:$J$22,R$9,0),4)</f>
        <v>1.2457</v>
      </c>
      <c r="S21" s="369">
        <f>ROUND(VLOOKUP(MID($E21,4,3),'[1]Wochentag F(WT)'!$B$7:$J$22,S$9,0),4)</f>
        <v>1.2615000000000001</v>
      </c>
      <c r="T21" s="369">
        <f>ROUND(VLOOKUP(MID($E21,4,3),'[1]Wochentag F(WT)'!$B$7:$J$22,T$9,0),4)</f>
        <v>1.2706999999999999</v>
      </c>
      <c r="U21" s="369">
        <f>ROUND(VLOOKUP(MID($E21,4,3),'[1]Wochentag F(WT)'!$B$7:$J$22,U$9,0),4)</f>
        <v>1.2430000000000001</v>
      </c>
      <c r="V21" s="369">
        <f>ROUND(VLOOKUP(MID($E21,4,3),'[1]Wochentag F(WT)'!$B$7:$J$22,V$9,0),4)</f>
        <v>1.1275999999999999</v>
      </c>
      <c r="W21" s="369">
        <f>ROUND(VLOOKUP(MID($E21,4,3),'[1]Wochentag F(WT)'!$B$7:$J$22,W$9,0),4)</f>
        <v>0.38769999999999999</v>
      </c>
      <c r="X21" s="370">
        <f t="shared" si="2"/>
        <v>0.46379999999999999</v>
      </c>
      <c r="Y21" s="303">
        <v>350</v>
      </c>
      <c r="Z21" s="212"/>
    </row>
    <row r="22" spans="2:26" s="143" customFormat="1">
      <c r="B22" s="144">
        <v>11</v>
      </c>
      <c r="C22" s="145" t="str">
        <f t="shared" si="0"/>
        <v>badenovaNETZE</v>
      </c>
      <c r="D22" s="62" t="s">
        <v>248</v>
      </c>
      <c r="E22" s="166" t="s">
        <v>257</v>
      </c>
      <c r="F22" s="365" t="str">
        <f>VLOOKUP($E22,'[1]BDEW-Standard'!$B$3:$M$158,F$9,0)</f>
        <v>BG3</v>
      </c>
      <c r="H22" s="366">
        <f>ROUND(VLOOKUP($E22,'[1]BDEW-Standard'!$B$3:$M$158,H$9,0),7)</f>
        <v>1.8213778</v>
      </c>
      <c r="I22" s="366">
        <f>ROUND(VLOOKUP($E22,'[1]BDEW-Standard'!$B$3:$M$158,I$9,0),7)</f>
        <v>-37.5</v>
      </c>
      <c r="J22" s="366">
        <f>ROUND(VLOOKUP($E22,'[1]BDEW-Standard'!$B$3:$M$158,J$9,0),7)</f>
        <v>6.3462148000000003</v>
      </c>
      <c r="K22" s="366">
        <f>ROUND(VLOOKUP($E22,'[1]BDEW-Standard'!$B$3:$M$158,K$9,0),7)</f>
        <v>6.7811800000000005E-2</v>
      </c>
      <c r="L22" s="367">
        <f>ROUND(VLOOKUP($E22,'[1]BDEW-Standard'!$B$3:$M$158,L$9,0),1)</f>
        <v>40</v>
      </c>
      <c r="M22" s="366">
        <f>ROUND(VLOOKUP($E22,'[1]BDEW-Standard'!$B$3:$M$158,M$9,0),7)</f>
        <v>-6.0766599999999997E-2</v>
      </c>
      <c r="N22" s="366">
        <f>ROUND(VLOOKUP($E22,'[1]BDEW-Standard'!$B$3:$M$158,N$9,0),7)</f>
        <v>0.93081590000000003</v>
      </c>
      <c r="O22" s="366">
        <f>ROUND(VLOOKUP($E22,'[1]BDEW-Standard'!$B$3:$M$158,O$9,0),7)</f>
        <v>-1.3967000000000001E-3</v>
      </c>
      <c r="P22" s="366">
        <f>ROUND(VLOOKUP($E22,'[1]BDEW-Standard'!$B$3:$M$158,P$9,0),7)</f>
        <v>8.5039900000000002E-2</v>
      </c>
      <c r="Q22" s="368">
        <f t="shared" si="1"/>
        <v>0.99999980465705085</v>
      </c>
      <c r="R22" s="369">
        <f>ROUND(VLOOKUP(MID($E22,4,3),'[1]Wochentag F(WT)'!$B$7:$J$22,R$9,0),4)</f>
        <v>0.98970000000000002</v>
      </c>
      <c r="S22" s="369">
        <f>ROUND(VLOOKUP(MID($E22,4,3),'[1]Wochentag F(WT)'!$B$7:$J$22,S$9,0),4)</f>
        <v>0.9627</v>
      </c>
      <c r="T22" s="369">
        <f>ROUND(VLOOKUP(MID($E22,4,3),'[1]Wochentag F(WT)'!$B$7:$J$22,T$9,0),4)</f>
        <v>1.0507</v>
      </c>
      <c r="U22" s="369">
        <f>ROUND(VLOOKUP(MID($E22,4,3),'[1]Wochentag F(WT)'!$B$7:$J$22,U$9,0),4)</f>
        <v>1.0551999999999999</v>
      </c>
      <c r="V22" s="369">
        <f>ROUND(VLOOKUP(MID($E22,4,3),'[1]Wochentag F(WT)'!$B$7:$J$22,V$9,0),4)</f>
        <v>1.0297000000000001</v>
      </c>
      <c r="W22" s="369">
        <f>ROUND(VLOOKUP(MID($E22,4,3),'[1]Wochentag F(WT)'!$B$7:$J$22,W$9,0),4)</f>
        <v>0.97670000000000001</v>
      </c>
      <c r="X22" s="370">
        <f t="shared" si="2"/>
        <v>0.9352999999999998</v>
      </c>
      <c r="Y22" s="303">
        <v>350</v>
      </c>
      <c r="Z22" s="212"/>
    </row>
    <row r="23" spans="2:26" s="143" customFormat="1">
      <c r="B23" s="144">
        <v>12</v>
      </c>
      <c r="C23" s="145" t="str">
        <f t="shared" si="0"/>
        <v>badenovaNETZE</v>
      </c>
      <c r="D23" s="62" t="s">
        <v>248</v>
      </c>
      <c r="E23" s="166" t="s">
        <v>256</v>
      </c>
      <c r="F23" s="365" t="str">
        <f>VLOOKUP($E23,'[1]BDEW-Standard'!$B$3:$M$158,F$9,0)</f>
        <v>DP3</v>
      </c>
      <c r="H23" s="366">
        <f>ROUND(VLOOKUP($E23,'[1]BDEW-Standard'!$B$3:$M$158,H$9,0),7)</f>
        <v>1.7110738999999999</v>
      </c>
      <c r="I23" s="366">
        <f>ROUND(VLOOKUP($E23,'[1]BDEW-Standard'!$B$3:$M$158,I$9,0),7)</f>
        <v>-35.799999999999997</v>
      </c>
      <c r="J23" s="366">
        <f>ROUND(VLOOKUP($E23,'[1]BDEW-Standard'!$B$3:$M$158,J$9,0),7)</f>
        <v>8.4</v>
      </c>
      <c r="K23" s="366">
        <f>ROUND(VLOOKUP($E23,'[1]BDEW-Standard'!$B$3:$M$158,K$9,0),7)</f>
        <v>7.02546E-2</v>
      </c>
      <c r="L23" s="367">
        <f>ROUND(VLOOKUP($E23,'[1]BDEW-Standard'!$B$3:$M$158,L$9,0),1)</f>
        <v>40</v>
      </c>
      <c r="M23" s="366">
        <f>ROUND(VLOOKUP($E23,'[1]BDEW-Standard'!$B$3:$M$158,M$9,0),7)</f>
        <v>-7.4538099999999996E-2</v>
      </c>
      <c r="N23" s="366">
        <f>ROUND(VLOOKUP($E23,'[1]BDEW-Standard'!$B$3:$M$158,N$9,0),7)</f>
        <v>1.0463005000000001</v>
      </c>
      <c r="O23" s="366">
        <f>ROUND(VLOOKUP($E23,'[1]BDEW-Standard'!$B$3:$M$158,O$9,0),7)</f>
        <v>-3.6719999999999998E-4</v>
      </c>
      <c r="P23" s="366">
        <f>ROUND(VLOOKUP($E23,'[1]BDEW-Standard'!$B$3:$M$158,P$9,0),7)</f>
        <v>6.2188199999999999E-2</v>
      </c>
      <c r="Q23" s="368">
        <f t="shared" si="1"/>
        <v>1.0000000773228386</v>
      </c>
      <c r="R23" s="369">
        <f>ROUND(VLOOKUP(MID($E23,4,3),'[1]Wochentag F(WT)'!$B$7:$J$22,R$9,0),4)</f>
        <v>1.0214000000000001</v>
      </c>
      <c r="S23" s="369">
        <f>ROUND(VLOOKUP(MID($E23,4,3),'[1]Wochentag F(WT)'!$B$7:$J$22,S$9,0),4)</f>
        <v>1.0866</v>
      </c>
      <c r="T23" s="369">
        <f>ROUND(VLOOKUP(MID($E23,4,3),'[1]Wochentag F(WT)'!$B$7:$J$22,T$9,0),4)</f>
        <v>1.0720000000000001</v>
      </c>
      <c r="U23" s="369">
        <f>ROUND(VLOOKUP(MID($E23,4,3),'[1]Wochentag F(WT)'!$B$7:$J$22,U$9,0),4)</f>
        <v>1.0557000000000001</v>
      </c>
      <c r="V23" s="369">
        <f>ROUND(VLOOKUP(MID($E23,4,3),'[1]Wochentag F(WT)'!$B$7:$J$22,V$9,0),4)</f>
        <v>1.0117</v>
      </c>
      <c r="W23" s="369">
        <f>ROUND(VLOOKUP(MID($E23,4,3),'[1]Wochentag F(WT)'!$B$7:$J$22,W$9,0),4)</f>
        <v>0.90010000000000001</v>
      </c>
      <c r="X23" s="370">
        <f t="shared" si="2"/>
        <v>0.85249999999999915</v>
      </c>
      <c r="Y23" s="303">
        <v>350</v>
      </c>
      <c r="Z23" s="212"/>
    </row>
    <row r="24" spans="2:26" s="143" customFormat="1">
      <c r="B24" s="144">
        <v>13</v>
      </c>
      <c r="C24" s="145" t="str">
        <f t="shared" si="0"/>
        <v>badenovaNETZE</v>
      </c>
      <c r="D24" s="62" t="s">
        <v>248</v>
      </c>
      <c r="E24" s="166" t="s">
        <v>4</v>
      </c>
      <c r="F24" s="365" t="str">
        <f>VLOOKUP($E24,'[1]BDEW-Standard'!$B$3:$M$158,F$9,0)</f>
        <v>HK3</v>
      </c>
      <c r="H24" s="366">
        <f>ROUND(VLOOKUP($E24,'[1]BDEW-Standard'!$B$3:$M$158,H$9,0),7)</f>
        <v>0.40409319999999999</v>
      </c>
      <c r="I24" s="366">
        <f>ROUND(VLOOKUP($E24,'[1]BDEW-Standard'!$B$3:$M$158,I$9,0),7)</f>
        <v>-24.439296800000001</v>
      </c>
      <c r="J24" s="366">
        <f>ROUND(VLOOKUP($E24,'[1]BDEW-Standard'!$B$3:$M$158,J$9,0),7)</f>
        <v>6.5718174999999999</v>
      </c>
      <c r="K24" s="366">
        <f>ROUND(VLOOKUP($E24,'[1]BDEW-Standard'!$B$3:$M$158,K$9,0),7)</f>
        <v>0.71077100000000004</v>
      </c>
      <c r="L24" s="367">
        <f>ROUND(VLOOKUP($E24,'[1]BDEW-Standard'!$B$3:$M$158,L$9,0),1)</f>
        <v>40</v>
      </c>
      <c r="M24" s="366">
        <f>ROUND(VLOOKUP($E24,'[1]BDEW-Standard'!$B$3:$M$158,M$9,0),7)</f>
        <v>0</v>
      </c>
      <c r="N24" s="366">
        <f>ROUND(VLOOKUP($E24,'[1]BDEW-Standard'!$B$3:$M$158,N$9,0),7)</f>
        <v>0</v>
      </c>
      <c r="O24" s="366">
        <f>ROUND(VLOOKUP($E24,'[1]BDEW-Standard'!$B$3:$M$158,O$9,0),7)</f>
        <v>0</v>
      </c>
      <c r="P24" s="366">
        <f>ROUND(VLOOKUP($E24,'[1]BDEW-Standard'!$B$3:$M$158,P$9,0),7)</f>
        <v>0</v>
      </c>
      <c r="Q24" s="368">
        <f t="shared" si="1"/>
        <v>1.0561214000512988</v>
      </c>
      <c r="R24" s="369">
        <f>ROUND(VLOOKUP(MID($E24,4,3),'[1]Wochentag F(WT)'!$B$7:$J$22,R$9,0),4)</f>
        <v>1</v>
      </c>
      <c r="S24" s="369">
        <f>ROUND(VLOOKUP(MID($E24,4,3),'[1]Wochentag F(WT)'!$B$7:$J$22,S$9,0),4)</f>
        <v>1</v>
      </c>
      <c r="T24" s="369">
        <f>ROUND(VLOOKUP(MID($E24,4,3),'[1]Wochentag F(WT)'!$B$7:$J$22,T$9,0),4)</f>
        <v>1</v>
      </c>
      <c r="U24" s="369">
        <f>ROUND(VLOOKUP(MID($E24,4,3),'[1]Wochentag F(WT)'!$B$7:$J$22,U$9,0),4)</f>
        <v>1</v>
      </c>
      <c r="V24" s="369">
        <f>ROUND(VLOOKUP(MID($E24,4,3),'[1]Wochentag F(WT)'!$B$7:$J$22,V$9,0),4)</f>
        <v>1</v>
      </c>
      <c r="W24" s="369">
        <f>ROUND(VLOOKUP(MID($E24,4,3),'[1]Wochentag F(WT)'!$B$7:$J$22,W$9,0),4)</f>
        <v>1</v>
      </c>
      <c r="X24" s="370">
        <f t="shared" si="2"/>
        <v>1</v>
      </c>
      <c r="Y24" s="303">
        <v>350</v>
      </c>
      <c r="Z24" s="212"/>
    </row>
    <row r="25" spans="2:26" s="143" customFormat="1">
      <c r="B25" s="144"/>
      <c r="C25" s="145"/>
      <c r="D25" s="62"/>
      <c r="E25" s="165"/>
      <c r="F25" s="307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3" customFormat="1">
      <c r="B26" s="144"/>
      <c r="C26" s="145"/>
      <c r="D26" s="62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/>
      <c r="C27" s="145"/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/>
      <c r="C28" s="145"/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/>
      <c r="C29" s="145"/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/>
      <c r="C30" s="145"/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/>
      <c r="C31" s="145"/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/>
      <c r="C32" s="145"/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/>
      <c r="C33" s="145"/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/>
      <c r="C34" s="145"/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/>
      <c r="C35" s="145"/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/>
      <c r="C36" s="145"/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/>
      <c r="C37" s="145"/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/>
      <c r="C38" s="145"/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/>
      <c r="C39" s="145"/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/>
      <c r="C40" s="145"/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/>
      <c r="C41" s="145"/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 H11:Y11 H25:Y41 F25:F41 Y12:Y24">
    <cfRule type="expression" dxfId="14" priority="13">
      <formula>ISERROR(F11)</formula>
    </cfRule>
  </conditionalFormatting>
  <conditionalFormatting sqref="E25:F41 Y12:Y41">
    <cfRule type="duplicateValues" dxfId="13" priority="35"/>
  </conditionalFormatting>
  <conditionalFormatting sqref="F12:F24 H12:K24 M12:P24 R12:X24">
    <cfRule type="expression" dxfId="12" priority="3">
      <formula>ISERROR(F12)</formula>
    </cfRule>
  </conditionalFormatting>
  <conditionalFormatting sqref="E12:F24">
    <cfRule type="duplicateValues" dxfId="11" priority="4"/>
  </conditionalFormatting>
  <conditionalFormatting sqref="L12:L24">
    <cfRule type="expression" dxfId="10" priority="2">
      <formula>ISERROR(L12)</formula>
    </cfRule>
  </conditionalFormatting>
  <conditionalFormatting sqref="Q12:Q24">
    <cfRule type="expression" dxfId="9" priority="1">
      <formula>ISERROR(Q12)</formula>
    </cfRule>
  </conditionalFormatting>
  <dataValidations disablePrompts="1"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K24 M12:X24 C13:C24" unlockedFormula="1"/>
    <ignoredError sqref="L12:L2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6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5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E25:E41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E25:E26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4140625" defaultRowHeight="14.4"/>
  <cols>
    <col min="1" max="3" width="11.44140625" style="128"/>
    <col min="4" max="4" width="19.88671875" style="128" customWidth="1"/>
    <col min="5" max="9" width="16" style="128" customWidth="1"/>
    <col min="10" max="10" width="15.109375" style="128" customWidth="1"/>
    <col min="11" max="12" width="16" style="128" customWidth="1"/>
    <col min="13" max="13" width="15.33203125" style="128" customWidth="1"/>
    <col min="14" max="16384" width="11.44140625" style="128"/>
  </cols>
  <sheetData>
    <row r="1" spans="1:14">
      <c r="A1" s="215" t="s">
        <v>353</v>
      </c>
      <c r="B1" s="216">
        <v>42173</v>
      </c>
      <c r="D1" s="131" t="s">
        <v>441</v>
      </c>
      <c r="F1" s="217" t="s">
        <v>537</v>
      </c>
      <c r="N1" s="218"/>
    </row>
    <row r="2" spans="1:14" ht="26.4">
      <c r="A2" s="219" t="s">
        <v>277</v>
      </c>
      <c r="B2" s="220" t="s">
        <v>146</v>
      </c>
      <c r="C2" s="221" t="s">
        <v>148</v>
      </c>
      <c r="D2" s="222" t="s">
        <v>149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70</v>
      </c>
      <c r="J2" s="223" t="s">
        <v>150</v>
      </c>
      <c r="K2" s="223" t="s">
        <v>151</v>
      </c>
      <c r="L2" s="223" t="s">
        <v>152</v>
      </c>
      <c r="M2" s="225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153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154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155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156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157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158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159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160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161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162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246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163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164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165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166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167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168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169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170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171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172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173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174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175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176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177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178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179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180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181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182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183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184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185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186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187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188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189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190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191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192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193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194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195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196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197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198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199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200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201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202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203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204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205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206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207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208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209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210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211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212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213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214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215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216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217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218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219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220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221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222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223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224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225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226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227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228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229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230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231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232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233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234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235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236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237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238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239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240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241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242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243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245</v>
      </c>
      <c r="B95" s="128" t="s">
        <v>50</v>
      </c>
      <c r="C95" s="128" t="s">
        <v>323</v>
      </c>
      <c r="D95" s="235" t="s">
        <v>278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245</v>
      </c>
      <c r="B96" s="128" t="s">
        <v>55</v>
      </c>
      <c r="C96" s="128" t="s">
        <v>328</v>
      </c>
      <c r="D96" s="235" t="s">
        <v>278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245</v>
      </c>
      <c r="B97" s="128" t="s">
        <v>60</v>
      </c>
      <c r="C97" s="128" t="s">
        <v>333</v>
      </c>
      <c r="D97" s="235" t="s">
        <v>278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245</v>
      </c>
      <c r="B98" s="128" t="s">
        <v>65</v>
      </c>
      <c r="C98" s="128" t="s">
        <v>338</v>
      </c>
      <c r="D98" s="235" t="s">
        <v>278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245</v>
      </c>
      <c r="B99" s="128" t="s">
        <v>18</v>
      </c>
      <c r="C99" s="128" t="s">
        <v>291</v>
      </c>
      <c r="D99" s="235" t="s">
        <v>278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245</v>
      </c>
      <c r="B100" s="128" t="s">
        <v>22</v>
      </c>
      <c r="C100" s="128" t="s">
        <v>295</v>
      </c>
      <c r="D100" s="235" t="s">
        <v>278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245</v>
      </c>
      <c r="B101" s="128" t="s">
        <v>26</v>
      </c>
      <c r="C101" s="128" t="s">
        <v>299</v>
      </c>
      <c r="D101" s="235" t="s">
        <v>278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245</v>
      </c>
      <c r="B102" s="128" t="s">
        <v>30</v>
      </c>
      <c r="C102" s="128" t="s">
        <v>303</v>
      </c>
      <c r="D102" s="235" t="s">
        <v>278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245</v>
      </c>
      <c r="B103" s="128" t="s">
        <v>34</v>
      </c>
      <c r="C103" s="128" t="s">
        <v>307</v>
      </c>
      <c r="D103" s="235" t="s">
        <v>278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245</v>
      </c>
      <c r="B104" s="128" t="s">
        <v>38</v>
      </c>
      <c r="C104" s="128" t="s">
        <v>311</v>
      </c>
      <c r="D104" s="235" t="s">
        <v>278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245</v>
      </c>
      <c r="B105" s="128" t="s">
        <v>42</v>
      </c>
      <c r="C105" s="128" t="s">
        <v>315</v>
      </c>
      <c r="D105" s="235" t="s">
        <v>278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245</v>
      </c>
      <c r="B106" s="128" t="s">
        <v>46</v>
      </c>
      <c r="C106" s="128" t="s">
        <v>319</v>
      </c>
      <c r="D106" s="235" t="s">
        <v>278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245</v>
      </c>
      <c r="B107" s="128" t="s">
        <v>51</v>
      </c>
      <c r="C107" s="128" t="s">
        <v>324</v>
      </c>
      <c r="D107" s="235" t="s">
        <v>278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245</v>
      </c>
      <c r="B108" s="128" t="s">
        <v>56</v>
      </c>
      <c r="C108" s="128" t="s">
        <v>329</v>
      </c>
      <c r="D108" s="235" t="s">
        <v>278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245</v>
      </c>
      <c r="B109" s="128" t="s">
        <v>61</v>
      </c>
      <c r="C109" s="128" t="s">
        <v>334</v>
      </c>
      <c r="D109" s="235" t="s">
        <v>278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245</v>
      </c>
      <c r="B110" s="128" t="s">
        <v>66</v>
      </c>
      <c r="C110" s="128" t="s">
        <v>339</v>
      </c>
      <c r="D110" s="235" t="s">
        <v>278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245</v>
      </c>
      <c r="B111" s="128" t="s">
        <v>6</v>
      </c>
      <c r="C111" s="128" t="s">
        <v>279</v>
      </c>
      <c r="D111" s="235" t="s">
        <v>278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245</v>
      </c>
      <c r="B112" s="128" t="s">
        <v>7</v>
      </c>
      <c r="C112" s="128" t="s">
        <v>280</v>
      </c>
      <c r="D112" s="235" t="s">
        <v>278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245</v>
      </c>
      <c r="B113" s="128" t="s">
        <v>8</v>
      </c>
      <c r="C113" s="128" t="s">
        <v>281</v>
      </c>
      <c r="D113" s="235" t="s">
        <v>278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245</v>
      </c>
      <c r="B114" s="128" t="s">
        <v>9</v>
      </c>
      <c r="C114" s="128" t="s">
        <v>282</v>
      </c>
      <c r="D114" s="235" t="s">
        <v>278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245</v>
      </c>
      <c r="B115" s="128" t="s">
        <v>19</v>
      </c>
      <c r="C115" s="128" t="s">
        <v>292</v>
      </c>
      <c r="D115" s="235" t="s">
        <v>278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245</v>
      </c>
      <c r="B116" s="128" t="s">
        <v>23</v>
      </c>
      <c r="C116" s="128" t="s">
        <v>296</v>
      </c>
      <c r="D116" s="235" t="s">
        <v>278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245</v>
      </c>
      <c r="B117" s="128" t="s">
        <v>27</v>
      </c>
      <c r="C117" s="128" t="s">
        <v>300</v>
      </c>
      <c r="D117" s="235" t="s">
        <v>278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245</v>
      </c>
      <c r="B118" s="128" t="s">
        <v>31</v>
      </c>
      <c r="C118" s="128" t="s">
        <v>304</v>
      </c>
      <c r="D118" s="235" t="s">
        <v>278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245</v>
      </c>
      <c r="B119" s="128" t="s">
        <v>10</v>
      </c>
      <c r="C119" s="128" t="s">
        <v>283</v>
      </c>
      <c r="D119" s="235" t="s">
        <v>278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245</v>
      </c>
      <c r="B120" s="128" t="s">
        <v>12</v>
      </c>
      <c r="C120" s="128" t="s">
        <v>285</v>
      </c>
      <c r="D120" s="235" t="s">
        <v>278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245</v>
      </c>
      <c r="B121" s="128" t="s">
        <v>14</v>
      </c>
      <c r="C121" s="128" t="s">
        <v>287</v>
      </c>
      <c r="D121" s="235" t="s">
        <v>278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245</v>
      </c>
      <c r="B122" s="128" t="s">
        <v>16</v>
      </c>
      <c r="C122" s="128" t="s">
        <v>289</v>
      </c>
      <c r="D122" s="235" t="s">
        <v>278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245</v>
      </c>
      <c r="B123" s="128" t="s">
        <v>52</v>
      </c>
      <c r="C123" s="128" t="s">
        <v>325</v>
      </c>
      <c r="D123" s="235" t="s">
        <v>278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245</v>
      </c>
      <c r="B124" s="128" t="s">
        <v>57</v>
      </c>
      <c r="C124" s="128" t="s">
        <v>330</v>
      </c>
      <c r="D124" s="235" t="s">
        <v>278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245</v>
      </c>
      <c r="B125" s="128" t="s">
        <v>62</v>
      </c>
      <c r="C125" s="128" t="s">
        <v>335</v>
      </c>
      <c r="D125" s="235" t="s">
        <v>278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245</v>
      </c>
      <c r="B126" s="128" t="s">
        <v>67</v>
      </c>
      <c r="C126" s="128" t="s">
        <v>340</v>
      </c>
      <c r="D126" s="235" t="s">
        <v>278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245</v>
      </c>
      <c r="B127" s="128" t="s">
        <v>20</v>
      </c>
      <c r="C127" s="128" t="s">
        <v>293</v>
      </c>
      <c r="D127" s="235" t="s">
        <v>278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245</v>
      </c>
      <c r="B128" s="128" t="s">
        <v>24</v>
      </c>
      <c r="C128" s="128" t="s">
        <v>297</v>
      </c>
      <c r="D128" s="235" t="s">
        <v>278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245</v>
      </c>
      <c r="B129" s="128" t="s">
        <v>28</v>
      </c>
      <c r="C129" s="128" t="s">
        <v>301</v>
      </c>
      <c r="D129" s="235" t="s">
        <v>278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245</v>
      </c>
      <c r="B130" s="128" t="s">
        <v>32</v>
      </c>
      <c r="C130" s="128" t="s">
        <v>305</v>
      </c>
      <c r="D130" s="235" t="s">
        <v>278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245</v>
      </c>
      <c r="B131" s="128" t="s">
        <v>21</v>
      </c>
      <c r="C131" s="128" t="s">
        <v>294</v>
      </c>
      <c r="D131" s="235" t="s">
        <v>278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245</v>
      </c>
      <c r="B132" s="128" t="s">
        <v>25</v>
      </c>
      <c r="C132" s="128" t="s">
        <v>298</v>
      </c>
      <c r="D132" s="235" t="s">
        <v>278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245</v>
      </c>
      <c r="B133" s="128" t="s">
        <v>29</v>
      </c>
      <c r="C133" s="128" t="s">
        <v>302</v>
      </c>
      <c r="D133" s="235" t="s">
        <v>278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245</v>
      </c>
      <c r="B134" s="128" t="s">
        <v>33</v>
      </c>
      <c r="C134" s="128" t="s">
        <v>306</v>
      </c>
      <c r="D134" s="235" t="s">
        <v>278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245</v>
      </c>
      <c r="B135" s="128" t="s">
        <v>35</v>
      </c>
      <c r="C135" s="128" t="s">
        <v>308</v>
      </c>
      <c r="D135" s="235" t="s">
        <v>278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245</v>
      </c>
      <c r="B136" s="128" t="s">
        <v>39</v>
      </c>
      <c r="C136" s="128" t="s">
        <v>312</v>
      </c>
      <c r="D136" s="235" t="s">
        <v>278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245</v>
      </c>
      <c r="B137" s="128" t="s">
        <v>43</v>
      </c>
      <c r="C137" s="128" t="s">
        <v>316</v>
      </c>
      <c r="D137" s="235" t="s">
        <v>278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245</v>
      </c>
      <c r="B138" s="128" t="s">
        <v>47</v>
      </c>
      <c r="C138" s="128" t="s">
        <v>320</v>
      </c>
      <c r="D138" s="235" t="s">
        <v>278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245</v>
      </c>
      <c r="B139" s="128" t="s">
        <v>36</v>
      </c>
      <c r="C139" s="128" t="s">
        <v>309</v>
      </c>
      <c r="D139" s="235" t="s">
        <v>278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245</v>
      </c>
      <c r="B140" s="128" t="s">
        <v>40</v>
      </c>
      <c r="C140" s="128" t="s">
        <v>313</v>
      </c>
      <c r="D140" s="235" t="s">
        <v>278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245</v>
      </c>
      <c r="B141" s="128" t="s">
        <v>44</v>
      </c>
      <c r="C141" s="128" t="s">
        <v>317</v>
      </c>
      <c r="D141" s="235" t="s">
        <v>278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245</v>
      </c>
      <c r="B142" s="128" t="s">
        <v>48</v>
      </c>
      <c r="C142" s="128" t="s">
        <v>321</v>
      </c>
      <c r="D142" s="235" t="s">
        <v>278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245</v>
      </c>
      <c r="B143" s="128" t="s">
        <v>11</v>
      </c>
      <c r="C143" s="128" t="s">
        <v>284</v>
      </c>
      <c r="D143" s="235" t="s">
        <v>278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245</v>
      </c>
      <c r="B144" s="128" t="s">
        <v>13</v>
      </c>
      <c r="C144" s="128" t="s">
        <v>286</v>
      </c>
      <c r="D144" s="235" t="s">
        <v>278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245</v>
      </c>
      <c r="B145" s="128" t="s">
        <v>15</v>
      </c>
      <c r="C145" s="128" t="s">
        <v>288</v>
      </c>
      <c r="D145" s="235" t="s">
        <v>278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245</v>
      </c>
      <c r="B146" s="128" t="s">
        <v>17</v>
      </c>
      <c r="C146" s="128" t="s">
        <v>290</v>
      </c>
      <c r="D146" s="235" t="s">
        <v>278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245</v>
      </c>
      <c r="B147" s="128" t="s">
        <v>37</v>
      </c>
      <c r="C147" s="128" t="s">
        <v>310</v>
      </c>
      <c r="D147" s="235" t="s">
        <v>278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245</v>
      </c>
      <c r="B148" s="128" t="s">
        <v>41</v>
      </c>
      <c r="C148" s="128" t="s">
        <v>314</v>
      </c>
      <c r="D148" s="235" t="s">
        <v>278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245</v>
      </c>
      <c r="B149" s="128" t="s">
        <v>45</v>
      </c>
      <c r="C149" s="128" t="s">
        <v>318</v>
      </c>
      <c r="D149" s="235" t="s">
        <v>278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245</v>
      </c>
      <c r="B150" s="128" t="s">
        <v>49</v>
      </c>
      <c r="C150" s="128" t="s">
        <v>322</v>
      </c>
      <c r="D150" s="235" t="s">
        <v>278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245</v>
      </c>
      <c r="B151" s="128" t="s">
        <v>53</v>
      </c>
      <c r="C151" s="128" t="s">
        <v>326</v>
      </c>
      <c r="D151" s="235" t="s">
        <v>278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245</v>
      </c>
      <c r="B152" s="128" t="s">
        <v>58</v>
      </c>
      <c r="C152" s="128" t="s">
        <v>331</v>
      </c>
      <c r="D152" s="235" t="s">
        <v>278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245</v>
      </c>
      <c r="B153" s="128" t="s">
        <v>63</v>
      </c>
      <c r="C153" s="128" t="s">
        <v>336</v>
      </c>
      <c r="D153" s="235" t="s">
        <v>278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245</v>
      </c>
      <c r="B154" s="128" t="s">
        <v>68</v>
      </c>
      <c r="C154" s="128" t="s">
        <v>341</v>
      </c>
      <c r="D154" s="235" t="s">
        <v>278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245</v>
      </c>
      <c r="B155" s="128" t="s">
        <v>54</v>
      </c>
      <c r="C155" s="128" t="s">
        <v>327</v>
      </c>
      <c r="D155" s="235" t="s">
        <v>278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245</v>
      </c>
      <c r="B156" s="128" t="s">
        <v>59</v>
      </c>
      <c r="C156" s="128" t="s">
        <v>332</v>
      </c>
      <c r="D156" s="235" t="s">
        <v>278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245</v>
      </c>
      <c r="B157" s="128" t="s">
        <v>64</v>
      </c>
      <c r="C157" s="128" t="s">
        <v>337</v>
      </c>
      <c r="D157" s="235" t="s">
        <v>278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245</v>
      </c>
      <c r="B158" s="128" t="s">
        <v>69</v>
      </c>
      <c r="C158" s="128" t="s">
        <v>342</v>
      </c>
      <c r="D158" s="235" t="s">
        <v>278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U11" sqref="U11"/>
    </sheetView>
  </sheetViews>
  <sheetFormatPr baseColWidth="10" defaultColWidth="0" defaultRowHeight="13.2" zeroHeight="1"/>
  <cols>
    <col min="1" max="1" width="2.88671875" style="75" customWidth="1"/>
    <col min="2" max="2" width="15.109375" style="75" customWidth="1"/>
    <col min="3" max="3" width="14.6640625" style="75" customWidth="1"/>
    <col min="4" max="4" width="5.88671875" style="75" hidden="1" customWidth="1"/>
    <col min="5" max="5" width="5.109375" style="75" customWidth="1"/>
    <col min="6" max="12" width="12.6640625" style="75" customWidth="1"/>
    <col min="13" max="30" width="5.6640625" style="75" customWidth="1"/>
    <col min="31" max="31" width="11.44140625" style="75" customWidth="1"/>
    <col min="32" max="16384" width="11.44140625" style="75" hidden="1"/>
  </cols>
  <sheetData>
    <row r="1" spans="2:30" ht="75" customHeight="1"/>
    <row r="2" spans="2:30" ht="22.8">
      <c r="B2" s="84" t="s">
        <v>433</v>
      </c>
    </row>
    <row r="3" spans="2:30" ht="15" customHeight="1">
      <c r="B3" s="84"/>
    </row>
    <row r="4" spans="2:30" ht="15" customHeight="1">
      <c r="B4" s="85" t="s">
        <v>432</v>
      </c>
      <c r="C4" s="63" t="str">
        <f>Netzbetreiber!$D$9</f>
        <v>badenovaNETZE GmbH</v>
      </c>
      <c r="D4" s="76"/>
      <c r="G4" s="76"/>
      <c r="I4" s="76"/>
      <c r="J4" s="77"/>
      <c r="M4" s="86" t="s">
        <v>531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4">
      <c r="B5" s="87" t="s">
        <v>431</v>
      </c>
      <c r="C5" s="64" t="str">
        <f>Netzbetreiber!D28</f>
        <v>badenovaNETZE</v>
      </c>
      <c r="D5" s="37"/>
      <c r="E5" s="76"/>
      <c r="F5" s="76"/>
      <c r="G5" s="76"/>
      <c r="I5" s="76"/>
      <c r="J5" s="76"/>
      <c r="K5" s="76"/>
      <c r="L5" s="76"/>
      <c r="M5" s="88" t="s">
        <v>498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4">
      <c r="B6" s="85" t="s">
        <v>429</v>
      </c>
      <c r="C6" s="63" t="str">
        <f>Netzbetreiber!$D$11</f>
        <v>9800192200000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133</v>
      </c>
      <c r="C7" s="58">
        <f>Netzbetreiber!$D$6</f>
        <v>42644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400" t="s">
        <v>445</v>
      </c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2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454</v>
      </c>
      <c r="N9" s="91" t="s">
        <v>378</v>
      </c>
      <c r="O9" s="92" t="s">
        <v>379</v>
      </c>
      <c r="P9" s="92" t="s">
        <v>380</v>
      </c>
      <c r="Q9" s="92" t="s">
        <v>381</v>
      </c>
      <c r="R9" s="92" t="s">
        <v>382</v>
      </c>
      <c r="S9" s="92" t="s">
        <v>383</v>
      </c>
      <c r="T9" s="92" t="s">
        <v>384</v>
      </c>
      <c r="U9" s="92" t="s">
        <v>385</v>
      </c>
      <c r="V9" s="92" t="s">
        <v>386</v>
      </c>
      <c r="W9" s="92" t="s">
        <v>387</v>
      </c>
      <c r="X9" s="92" t="s">
        <v>388</v>
      </c>
      <c r="Y9" s="92" t="s">
        <v>389</v>
      </c>
      <c r="Z9" s="92" t="s">
        <v>390</v>
      </c>
      <c r="AA9" s="92" t="s">
        <v>391</v>
      </c>
      <c r="AB9" s="92" t="s">
        <v>392</v>
      </c>
      <c r="AC9" s="93" t="s">
        <v>393</v>
      </c>
      <c r="AD9" s="93" t="s">
        <v>427</v>
      </c>
    </row>
    <row r="10" spans="2:30" ht="72" customHeight="1" thickBot="1">
      <c r="B10" s="405" t="s">
        <v>575</v>
      </c>
      <c r="C10" s="406"/>
      <c r="D10" s="94">
        <v>2</v>
      </c>
      <c r="E10" s="95" t="str">
        <f>IF(ISERROR(HLOOKUP(E$11,$M$9:$AD$35,$D10,0)),"",HLOOKUP(E$11,$M$9:$AD$35,$D10,0))</f>
        <v/>
      </c>
      <c r="F10" s="403" t="s">
        <v>403</v>
      </c>
      <c r="G10" s="403"/>
      <c r="H10" s="403"/>
      <c r="I10" s="403"/>
      <c r="J10" s="403"/>
      <c r="K10" s="403"/>
      <c r="L10" s="404"/>
      <c r="M10" s="96" t="s">
        <v>455</v>
      </c>
      <c r="N10" s="97" t="s">
        <v>456</v>
      </c>
      <c r="O10" s="98" t="s">
        <v>457</v>
      </c>
      <c r="P10" s="99" t="s">
        <v>458</v>
      </c>
      <c r="Q10" s="99" t="s">
        <v>459</v>
      </c>
      <c r="R10" s="99" t="s">
        <v>460</v>
      </c>
      <c r="S10" s="99" t="s">
        <v>461</v>
      </c>
      <c r="T10" s="99" t="s">
        <v>462</v>
      </c>
      <c r="U10" s="99" t="s">
        <v>463</v>
      </c>
      <c r="V10" s="99" t="s">
        <v>464</v>
      </c>
      <c r="W10" s="99" t="s">
        <v>465</v>
      </c>
      <c r="X10" s="99" t="s">
        <v>466</v>
      </c>
      <c r="Y10" s="99" t="s">
        <v>467</v>
      </c>
      <c r="Z10" s="99" t="s">
        <v>468</v>
      </c>
      <c r="AA10" s="99" t="s">
        <v>469</v>
      </c>
      <c r="AB10" s="99" t="s">
        <v>470</v>
      </c>
      <c r="AC10" s="100" t="s">
        <v>471</v>
      </c>
      <c r="AD10" s="101" t="s">
        <v>428</v>
      </c>
    </row>
    <row r="11" spans="2:30" ht="15" thickBot="1">
      <c r="B11" s="102" t="s">
        <v>426</v>
      </c>
      <c r="C11" s="103"/>
      <c r="D11" s="104">
        <v>3</v>
      </c>
      <c r="E11" s="105"/>
      <c r="F11" s="106" t="s">
        <v>395</v>
      </c>
      <c r="G11" s="107" t="s">
        <v>396</v>
      </c>
      <c r="H11" s="107" t="s">
        <v>397</v>
      </c>
      <c r="I11" s="107" t="s">
        <v>398</v>
      </c>
      <c r="J11" s="107" t="s">
        <v>399</v>
      </c>
      <c r="K11" s="107" t="s">
        <v>400</v>
      </c>
      <c r="L11" s="108" t="s">
        <v>401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4">
      <c r="B12" s="109" t="s">
        <v>404</v>
      </c>
      <c r="C12" s="110"/>
      <c r="D12" s="111">
        <v>4</v>
      </c>
      <c r="E12" s="314">
        <f>MIN(SUMPRODUCT($M$11:$AD$11,M12:AD12),1)</f>
        <v>1</v>
      </c>
      <c r="F12" s="311" t="s">
        <v>401</v>
      </c>
      <c r="G12" s="78" t="s">
        <v>401</v>
      </c>
      <c r="H12" s="78" t="s">
        <v>401</v>
      </c>
      <c r="I12" s="78" t="s">
        <v>401</v>
      </c>
      <c r="J12" s="78" t="s">
        <v>401</v>
      </c>
      <c r="K12" s="78" t="s">
        <v>401</v>
      </c>
      <c r="L12" s="79" t="s">
        <v>401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4">
      <c r="B13" s="116" t="s">
        <v>405</v>
      </c>
      <c r="C13" s="117"/>
      <c r="D13" s="111">
        <v>5</v>
      </c>
      <c r="E13" s="315">
        <f t="shared" ref="E13:E35" si="0">MIN(SUMPRODUCT($M$11:$AD$11,M13:AD13),1)</f>
        <v>1</v>
      </c>
      <c r="F13" s="312" t="s">
        <v>401</v>
      </c>
      <c r="G13" s="80" t="s">
        <v>401</v>
      </c>
      <c r="H13" s="80" t="s">
        <v>401</v>
      </c>
      <c r="I13" s="80" t="s">
        <v>401</v>
      </c>
      <c r="J13" s="80" t="s">
        <v>401</v>
      </c>
      <c r="K13" s="80" t="s">
        <v>401</v>
      </c>
      <c r="L13" s="81" t="s">
        <v>401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4">
      <c r="B14" s="116" t="s">
        <v>406</v>
      </c>
      <c r="C14" s="117"/>
      <c r="D14" s="111">
        <v>6</v>
      </c>
      <c r="E14" s="315">
        <f t="shared" si="0"/>
        <v>0</v>
      </c>
      <c r="F14" s="312" t="s">
        <v>401</v>
      </c>
      <c r="G14" s="80" t="s">
        <v>407</v>
      </c>
      <c r="H14" s="80" t="s">
        <v>407</v>
      </c>
      <c r="I14" s="80" t="s">
        <v>407</v>
      </c>
      <c r="J14" s="80" t="s">
        <v>407</v>
      </c>
      <c r="K14" s="80" t="s">
        <v>407</v>
      </c>
      <c r="L14" s="81" t="s">
        <v>407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4">
      <c r="B15" s="116" t="s">
        <v>408</v>
      </c>
      <c r="C15" s="117"/>
      <c r="D15" s="111">
        <v>7</v>
      </c>
      <c r="E15" s="315">
        <f t="shared" si="0"/>
        <v>0</v>
      </c>
      <c r="F15" s="312" t="s">
        <v>407</v>
      </c>
      <c r="G15" s="80" t="s">
        <v>400</v>
      </c>
      <c r="H15" s="80" t="s">
        <v>407</v>
      </c>
      <c r="I15" s="80" t="s">
        <v>407</v>
      </c>
      <c r="J15" s="80" t="s">
        <v>407</v>
      </c>
      <c r="K15" s="80" t="s">
        <v>407</v>
      </c>
      <c r="L15" s="81" t="s">
        <v>407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4">
      <c r="B16" s="121" t="s">
        <v>420</v>
      </c>
      <c r="C16" s="117"/>
      <c r="D16" s="111">
        <v>8</v>
      </c>
      <c r="E16" s="315">
        <f t="shared" si="0"/>
        <v>1</v>
      </c>
      <c r="F16" s="312" t="s">
        <v>407</v>
      </c>
      <c r="G16" s="80" t="s">
        <v>407</v>
      </c>
      <c r="H16" s="80" t="s">
        <v>407</v>
      </c>
      <c r="I16" s="80" t="s">
        <v>407</v>
      </c>
      <c r="J16" s="80" t="s">
        <v>401</v>
      </c>
      <c r="K16" s="80" t="s">
        <v>407</v>
      </c>
      <c r="L16" s="81" t="s">
        <v>407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4">
      <c r="B17" s="121" t="s">
        <v>421</v>
      </c>
      <c r="C17" s="117"/>
      <c r="D17" s="111">
        <v>9</v>
      </c>
      <c r="E17" s="315">
        <f t="shared" si="0"/>
        <v>1</v>
      </c>
      <c r="F17" s="312" t="s">
        <v>407</v>
      </c>
      <c r="G17" s="80" t="s">
        <v>407</v>
      </c>
      <c r="H17" s="80" t="s">
        <v>407</v>
      </c>
      <c r="I17" s="80" t="s">
        <v>407</v>
      </c>
      <c r="J17" s="80" t="s">
        <v>407</v>
      </c>
      <c r="K17" s="80" t="s">
        <v>407</v>
      </c>
      <c r="L17" s="81" t="s">
        <v>401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4">
      <c r="B18" s="121" t="s">
        <v>422</v>
      </c>
      <c r="C18" s="117"/>
      <c r="D18" s="111">
        <v>10</v>
      </c>
      <c r="E18" s="315">
        <f t="shared" si="0"/>
        <v>1</v>
      </c>
      <c r="F18" s="312" t="s">
        <v>401</v>
      </c>
      <c r="G18" s="80" t="s">
        <v>407</v>
      </c>
      <c r="H18" s="80" t="s">
        <v>407</v>
      </c>
      <c r="I18" s="80" t="s">
        <v>407</v>
      </c>
      <c r="J18" s="80" t="s">
        <v>407</v>
      </c>
      <c r="K18" s="80" t="s">
        <v>407</v>
      </c>
      <c r="L18" s="81" t="s">
        <v>407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4">
      <c r="B19" s="339" t="s">
        <v>630</v>
      </c>
      <c r="C19" s="340"/>
      <c r="D19" s="111"/>
      <c r="E19" s="315">
        <v>1</v>
      </c>
      <c r="F19" s="312" t="s">
        <v>401</v>
      </c>
      <c r="G19" s="80" t="s">
        <v>401</v>
      </c>
      <c r="H19" s="80" t="s">
        <v>401</v>
      </c>
      <c r="I19" s="80" t="s">
        <v>401</v>
      </c>
      <c r="J19" s="80" t="s">
        <v>401</v>
      </c>
      <c r="K19" s="80" t="s">
        <v>401</v>
      </c>
      <c r="L19" s="81" t="s">
        <v>401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4.4">
      <c r="B20" s="121" t="s">
        <v>409</v>
      </c>
      <c r="C20" s="117"/>
      <c r="D20" s="111">
        <v>11</v>
      </c>
      <c r="E20" s="315">
        <f t="shared" si="0"/>
        <v>1</v>
      </c>
      <c r="F20" s="312" t="s">
        <v>401</v>
      </c>
      <c r="G20" s="80" t="s">
        <v>401</v>
      </c>
      <c r="H20" s="80" t="s">
        <v>401</v>
      </c>
      <c r="I20" s="80" t="s">
        <v>401</v>
      </c>
      <c r="J20" s="80" t="s">
        <v>401</v>
      </c>
      <c r="K20" s="80" t="s">
        <v>401</v>
      </c>
      <c r="L20" s="81" t="s">
        <v>401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4">
      <c r="B21" s="121" t="s">
        <v>628</v>
      </c>
      <c r="C21" s="117"/>
      <c r="D21" s="111">
        <v>12</v>
      </c>
      <c r="E21" s="315">
        <f t="shared" si="0"/>
        <v>1</v>
      </c>
      <c r="F21" s="312" t="s">
        <v>407</v>
      </c>
      <c r="G21" s="80" t="s">
        <v>407</v>
      </c>
      <c r="H21" s="80" t="s">
        <v>407</v>
      </c>
      <c r="I21" s="80" t="s">
        <v>401</v>
      </c>
      <c r="J21" s="80" t="s">
        <v>407</v>
      </c>
      <c r="K21" s="80" t="s">
        <v>407</v>
      </c>
      <c r="L21" s="81" t="s">
        <v>407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4">
      <c r="B22" s="121" t="s">
        <v>423</v>
      </c>
      <c r="C22" s="117"/>
      <c r="D22" s="111">
        <v>13</v>
      </c>
      <c r="E22" s="315">
        <f t="shared" si="0"/>
        <v>1</v>
      </c>
      <c r="F22" s="312" t="s">
        <v>407</v>
      </c>
      <c r="G22" s="80" t="s">
        <v>407</v>
      </c>
      <c r="H22" s="80" t="s">
        <v>407</v>
      </c>
      <c r="I22" s="80" t="s">
        <v>407</v>
      </c>
      <c r="J22" s="80" t="s">
        <v>407</v>
      </c>
      <c r="K22" s="80" t="s">
        <v>407</v>
      </c>
      <c r="L22" s="81" t="s">
        <v>401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4">
      <c r="B23" s="121" t="s">
        <v>424</v>
      </c>
      <c r="C23" s="117"/>
      <c r="D23" s="111">
        <v>14</v>
      </c>
      <c r="E23" s="315">
        <f t="shared" si="0"/>
        <v>1</v>
      </c>
      <c r="F23" s="312" t="s">
        <v>401</v>
      </c>
      <c r="G23" s="80" t="s">
        <v>407</v>
      </c>
      <c r="H23" s="80" t="s">
        <v>407</v>
      </c>
      <c r="I23" s="80" t="s">
        <v>407</v>
      </c>
      <c r="J23" s="80" t="s">
        <v>407</v>
      </c>
      <c r="K23" s="80" t="s">
        <v>407</v>
      </c>
      <c r="L23" s="81" t="s">
        <v>407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4.4">
      <c r="B24" s="116" t="s">
        <v>425</v>
      </c>
      <c r="C24" s="117"/>
      <c r="D24" s="111">
        <v>15</v>
      </c>
      <c r="E24" s="315">
        <f t="shared" si="0"/>
        <v>1</v>
      </c>
      <c r="F24" s="312" t="s">
        <v>407</v>
      </c>
      <c r="G24" s="80" t="s">
        <v>407</v>
      </c>
      <c r="H24" s="80" t="s">
        <v>407</v>
      </c>
      <c r="I24" s="80" t="s">
        <v>401</v>
      </c>
      <c r="J24" s="80" t="s">
        <v>407</v>
      </c>
      <c r="K24" s="80" t="s">
        <v>407</v>
      </c>
      <c r="L24" s="81" t="s">
        <v>407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4.4">
      <c r="B25" s="116" t="s">
        <v>410</v>
      </c>
      <c r="C25" s="117"/>
      <c r="D25" s="111">
        <v>16</v>
      </c>
      <c r="E25" s="315">
        <f t="shared" si="0"/>
        <v>0</v>
      </c>
      <c r="F25" s="312" t="s">
        <v>401</v>
      </c>
      <c r="G25" s="80" t="s">
        <v>401</v>
      </c>
      <c r="H25" s="80" t="s">
        <v>401</v>
      </c>
      <c r="I25" s="80" t="s">
        <v>401</v>
      </c>
      <c r="J25" s="80" t="s">
        <v>401</v>
      </c>
      <c r="K25" s="80" t="s">
        <v>401</v>
      </c>
      <c r="L25" s="81" t="s">
        <v>401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4.4">
      <c r="B26" s="116" t="s">
        <v>411</v>
      </c>
      <c r="C26" s="117"/>
      <c r="D26" s="111">
        <v>17</v>
      </c>
      <c r="E26" s="315">
        <f t="shared" si="0"/>
        <v>0</v>
      </c>
      <c r="F26" s="312" t="s">
        <v>401</v>
      </c>
      <c r="G26" s="80" t="s">
        <v>401</v>
      </c>
      <c r="H26" s="80" t="s">
        <v>401</v>
      </c>
      <c r="I26" s="80" t="s">
        <v>401</v>
      </c>
      <c r="J26" s="80" t="s">
        <v>401</v>
      </c>
      <c r="K26" s="80" t="s">
        <v>401</v>
      </c>
      <c r="L26" s="81" t="s">
        <v>401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4.4">
      <c r="B27" s="339" t="s">
        <v>629</v>
      </c>
      <c r="C27" s="340"/>
      <c r="D27" s="111"/>
      <c r="E27" s="315">
        <v>1</v>
      </c>
      <c r="F27" s="312" t="s">
        <v>401</v>
      </c>
      <c r="G27" s="80" t="s">
        <v>401</v>
      </c>
      <c r="H27" s="80" t="s">
        <v>401</v>
      </c>
      <c r="I27" s="80" t="s">
        <v>401</v>
      </c>
      <c r="J27" s="80" t="s">
        <v>401</v>
      </c>
      <c r="K27" s="80" t="s">
        <v>401</v>
      </c>
      <c r="L27" s="81" t="s">
        <v>401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4.4">
      <c r="B28" s="121" t="s">
        <v>412</v>
      </c>
      <c r="C28" s="117"/>
      <c r="D28" s="111">
        <v>18</v>
      </c>
      <c r="E28" s="315">
        <f t="shared" si="0"/>
        <v>1</v>
      </c>
      <c r="F28" s="312" t="s">
        <v>401</v>
      </c>
      <c r="G28" s="80" t="s">
        <v>401</v>
      </c>
      <c r="H28" s="80" t="s">
        <v>401</v>
      </c>
      <c r="I28" s="80" t="s">
        <v>401</v>
      </c>
      <c r="J28" s="80" t="s">
        <v>401</v>
      </c>
      <c r="K28" s="80" t="s">
        <v>401</v>
      </c>
      <c r="L28" s="81" t="s">
        <v>401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4.4">
      <c r="B29" s="339" t="s">
        <v>413</v>
      </c>
      <c r="C29" s="340"/>
      <c r="D29" s="341">
        <v>19</v>
      </c>
      <c r="E29" s="342">
        <v>1</v>
      </c>
      <c r="F29" s="312" t="s">
        <v>401</v>
      </c>
      <c r="G29" s="312" t="s">
        <v>401</v>
      </c>
      <c r="H29" s="312" t="s">
        <v>401</v>
      </c>
      <c r="I29" s="312" t="s">
        <v>401</v>
      </c>
      <c r="J29" s="312" t="s">
        <v>401</v>
      </c>
      <c r="K29" s="312" t="s">
        <v>401</v>
      </c>
      <c r="L29" s="312" t="s">
        <v>401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4.4">
      <c r="B30" s="116" t="s">
        <v>414</v>
      </c>
      <c r="C30" s="117"/>
      <c r="D30" s="111">
        <v>20</v>
      </c>
      <c r="E30" s="315">
        <f t="shared" si="0"/>
        <v>1</v>
      </c>
      <c r="F30" s="312" t="s">
        <v>401</v>
      </c>
      <c r="G30" s="80" t="s">
        <v>401</v>
      </c>
      <c r="H30" s="80" t="s">
        <v>401</v>
      </c>
      <c r="I30" s="80" t="s">
        <v>401</v>
      </c>
      <c r="J30" s="80" t="s">
        <v>401</v>
      </c>
      <c r="K30" s="80" t="s">
        <v>401</v>
      </c>
      <c r="L30" s="81" t="s">
        <v>401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4.4">
      <c r="B31" s="116" t="s">
        <v>415</v>
      </c>
      <c r="C31" s="117"/>
      <c r="D31" s="111">
        <v>21</v>
      </c>
      <c r="E31" s="315">
        <f t="shared" si="0"/>
        <v>0</v>
      </c>
      <c r="F31" s="312" t="s">
        <v>407</v>
      </c>
      <c r="G31" s="80" t="s">
        <v>407</v>
      </c>
      <c r="H31" s="80" t="s">
        <v>401</v>
      </c>
      <c r="I31" s="80" t="s">
        <v>407</v>
      </c>
      <c r="J31" s="80" t="s">
        <v>407</v>
      </c>
      <c r="K31" s="80" t="s">
        <v>407</v>
      </c>
      <c r="L31" s="81" t="s">
        <v>407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4.4">
      <c r="B32" s="116" t="s">
        <v>416</v>
      </c>
      <c r="C32" s="117"/>
      <c r="D32" s="111">
        <v>22</v>
      </c>
      <c r="E32" s="315">
        <f t="shared" si="0"/>
        <v>0</v>
      </c>
      <c r="F32" s="312" t="s">
        <v>400</v>
      </c>
      <c r="G32" s="80" t="s">
        <v>400</v>
      </c>
      <c r="H32" s="80" t="s">
        <v>400</v>
      </c>
      <c r="I32" s="80" t="s">
        <v>400</v>
      </c>
      <c r="J32" s="80" t="s">
        <v>400</v>
      </c>
      <c r="K32" s="80" t="s">
        <v>400</v>
      </c>
      <c r="L32" s="81" t="s">
        <v>401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4.4">
      <c r="B33" s="121" t="s">
        <v>417</v>
      </c>
      <c r="C33" s="117"/>
      <c r="D33" s="111">
        <v>23</v>
      </c>
      <c r="E33" s="315">
        <f t="shared" si="0"/>
        <v>1</v>
      </c>
      <c r="F33" s="312" t="s">
        <v>401</v>
      </c>
      <c r="G33" s="80" t="s">
        <v>401</v>
      </c>
      <c r="H33" s="80" t="s">
        <v>401</v>
      </c>
      <c r="I33" s="80" t="s">
        <v>401</v>
      </c>
      <c r="J33" s="80" t="s">
        <v>401</v>
      </c>
      <c r="K33" s="80" t="s">
        <v>401</v>
      </c>
      <c r="L33" s="81" t="s">
        <v>401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4.4">
      <c r="B34" s="121" t="s">
        <v>418</v>
      </c>
      <c r="C34" s="117"/>
      <c r="D34" s="111">
        <v>24</v>
      </c>
      <c r="E34" s="315">
        <f t="shared" si="0"/>
        <v>1</v>
      </c>
      <c r="F34" s="312" t="s">
        <v>401</v>
      </c>
      <c r="G34" s="80" t="s">
        <v>401</v>
      </c>
      <c r="H34" s="80" t="s">
        <v>401</v>
      </c>
      <c r="I34" s="80" t="s">
        <v>401</v>
      </c>
      <c r="J34" s="80" t="s">
        <v>401</v>
      </c>
      <c r="K34" s="80" t="s">
        <v>401</v>
      </c>
      <c r="L34" s="81" t="s">
        <v>401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" thickBot="1">
      <c r="B35" s="122" t="s">
        <v>419</v>
      </c>
      <c r="C35" s="123"/>
      <c r="D35" s="124">
        <v>25</v>
      </c>
      <c r="E35" s="316">
        <f t="shared" si="0"/>
        <v>0</v>
      </c>
      <c r="F35" s="313" t="s">
        <v>400</v>
      </c>
      <c r="G35" s="82" t="s">
        <v>400</v>
      </c>
      <c r="H35" s="82" t="s">
        <v>400</v>
      </c>
      <c r="I35" s="82" t="s">
        <v>400</v>
      </c>
      <c r="J35" s="82" t="s">
        <v>400</v>
      </c>
      <c r="K35" s="82" t="s">
        <v>400</v>
      </c>
      <c r="L35" s="83" t="s">
        <v>401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</vt:i4>
      </vt:variant>
    </vt:vector>
  </HeadingPairs>
  <TitlesOfParts>
    <vt:vector size="12" baseType="lpstr">
      <vt:lpstr>Info_x</vt:lpstr>
      <vt:lpstr>Netzbetreiber</vt:lpstr>
      <vt:lpstr>SLP-Verfahren</vt:lpstr>
      <vt:lpstr>SLP-Temp-Gebiet #01</vt:lpstr>
      <vt:lpstr>SLP-Temp-Gebiet #02</vt:lpstr>
      <vt:lpstr>SLP-Temp-Gebiet #02)</vt:lpstr>
      <vt:lpstr>SLP-Profile</vt:lpstr>
      <vt:lpstr>BDEW-Standard</vt:lpstr>
      <vt:lpstr>SLP-Feiertage</vt:lpstr>
      <vt:lpstr>HIST_MONATSDURCHSCHNITT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Neidinger Maria</cp:lastModifiedBy>
  <cp:lastPrinted>2015-03-20T22:59:10Z</cp:lastPrinted>
  <dcterms:created xsi:type="dcterms:W3CDTF">2015-01-15T05:25:41Z</dcterms:created>
  <dcterms:modified xsi:type="dcterms:W3CDTF">2023-11-16T08:51:22Z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